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7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9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12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13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14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direction-generale\drh\RSU_Bilan_Social\BilanSocial\2023\"/>
    </mc:Choice>
  </mc:AlternateContent>
  <xr:revisionPtr revIDLastSave="0" documentId="13_ncr:1_{66FDA9E3-B13D-4A72-A7C6-E32AFA97350C}" xr6:coauthVersionLast="36" xr6:coauthVersionMax="36" xr10:uidLastSave="{00000000-0000-0000-0000-000000000000}"/>
  <bookViews>
    <workbookView xWindow="0" yWindow="0" windowWidth="18765" windowHeight="10695" tabRatio="918" firstSheet="2" activeTab="3" xr2:uid="{CAB67A81-E5B1-49C5-8AF0-4280F7CC8C4F}"/>
  </bookViews>
  <sheets>
    <sheet name="Feuil1" sheetId="28" r:id="rId1"/>
    <sheet name="I-1 Plafond d'emploi" sheetId="1" r:id="rId2"/>
    <sheet name="I-2.1 Effectif Global" sheetId="2" r:id="rId3"/>
    <sheet name="I-2.2 Effectif BIATSS" sheetId="3" r:id="rId4"/>
    <sheet name="I-2.3 Effectif Ens" sheetId="4" r:id="rId5"/>
    <sheet name="I-2.4 Ct étu - stages" sheetId="27" r:id="rId6"/>
    <sheet name="I-3 Pyramides âges" sheetId="5" r:id="rId7"/>
    <sheet name="I-4 Entrées" sheetId="6" r:id="rId8"/>
    <sheet name="I-5 Sorties" sheetId="7" r:id="rId9"/>
    <sheet name="I-6 Parité" sheetId="26" r:id="rId10"/>
    <sheet name="II-1 Formations" sheetId="8" r:id="rId11"/>
    <sheet name="II-1.1 Formations détails" sheetId="24" r:id="rId12"/>
    <sheet name="II-2 Avancement BIATSS" sheetId="10" r:id="rId13"/>
    <sheet name="II-3 Avancement Enseignant" sheetId="11" r:id="rId14"/>
    <sheet name="III-1 Plafond d'emploi" sheetId="12" r:id="rId15"/>
    <sheet name="III-2 Masse salariale" sheetId="13" r:id="rId16"/>
    <sheet name="III-3 Rémunérations" sheetId="14" r:id="rId17"/>
    <sheet name="IV-1 Risques professionnels" sheetId="15" r:id="rId18"/>
    <sheet name="IV-2 Actions sociales" sheetId="16" r:id="rId19"/>
    <sheet name="IV-3 Congés raison de santé" sheetId="17" r:id="rId20"/>
    <sheet name="V-1 Temps de travail" sheetId="18" r:id="rId21"/>
    <sheet name="V-2 Télétravail" sheetId="20" r:id="rId22"/>
    <sheet name="V-3 Abs hors santé" sheetId="21" r:id="rId23"/>
    <sheet name="V-4 CET" sheetId="22" r:id="rId24"/>
    <sheet name="V-5 Handicap" sheetId="25" r:id="rId25"/>
    <sheet name="VI Moyens accordés aux OS" sheetId="23" r:id="rId26"/>
  </sheets>
  <definedNames>
    <definedName name="_xlnm._FilterDatabase" localSheetId="4" hidden="1">'I-2.3 Effectif Ens'!$M$37:$Q$37</definedName>
    <definedName name="_xlnm._FilterDatabase" localSheetId="5" hidden="1">'I-2.4 Ct étu - stages'!$D$35:$E$35</definedName>
    <definedName name="_xlnm.Print_Area" localSheetId="3">'I-2.2 Effectif BIATSS'!$A$1:$AZ$88</definedName>
    <definedName name="_xlnm.Print_Area" localSheetId="5">'I-2.4 Ct étu - stages'!$A$1:$G$62</definedName>
    <definedName name="_xlnm.Print_Area" localSheetId="6">'I-3 Pyramides âges'!$A$1:$L$140</definedName>
    <definedName name="_xlnm.Print_Area" localSheetId="8">'I-5 Sorties'!$A$1:$K$100</definedName>
    <definedName name="_xlnm.Print_Area" localSheetId="9">'I-6 Parité'!$A$1:$O$46</definedName>
    <definedName name="_xlnm.Print_Area" localSheetId="10">'II-1 Formations'!$A$1:$M$50</definedName>
    <definedName name="_xlnm.Print_Area" localSheetId="11">'II-1.1 Formations détails'!$A$1:$Y$38</definedName>
    <definedName name="_xlnm.Print_Area" localSheetId="12">'II-2 Avancement BIATSS'!$A$1:$O$99</definedName>
    <definedName name="_xlnm.Print_Area" localSheetId="13">'II-3 Avancement Enseignant'!$A$1:$P$49</definedName>
    <definedName name="_xlnm.Print_Area" localSheetId="18">'IV-2 Actions sociales'!$A$1:$L$72</definedName>
    <definedName name="_xlnm.Print_Area" localSheetId="19">'IV-3 Congés raison de santé'!$A$1:$AO$117</definedName>
    <definedName name="_xlnm.Print_Area" localSheetId="21">'V-2 Télétravail'!$A$1:$K$31</definedName>
    <definedName name="_xlnm.Print_Area" localSheetId="22">'V-3 Abs hors santé'!$A$1:$P$84</definedName>
    <definedName name="_xlnm.Print_Area" localSheetId="25">'VI Moyens accordés aux OS'!$A$1:$O$24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0" i="3" l="1"/>
  <c r="D100" i="17" l="1"/>
  <c r="E100" i="17"/>
  <c r="F100" i="17"/>
  <c r="G100" i="17"/>
  <c r="G102" i="17"/>
  <c r="G103" i="17"/>
  <c r="G104" i="17"/>
  <c r="G105" i="17"/>
  <c r="G106" i="17"/>
  <c r="G107" i="17"/>
  <c r="G108" i="17"/>
  <c r="G109" i="17"/>
  <c r="G101" i="17"/>
  <c r="G110" i="17"/>
  <c r="G96" i="17"/>
  <c r="G97" i="17"/>
  <c r="G98" i="17"/>
  <c r="G99" i="17"/>
  <c r="G95" i="17"/>
  <c r="G93" i="17"/>
  <c r="G92" i="17"/>
  <c r="G91" i="17"/>
  <c r="G90" i="17"/>
  <c r="D89" i="17"/>
  <c r="E89" i="17"/>
  <c r="F89" i="17"/>
  <c r="G89" i="17"/>
  <c r="G88" i="17"/>
  <c r="G87" i="17"/>
  <c r="G86" i="17"/>
  <c r="G85" i="17"/>
  <c r="G82" i="17"/>
  <c r="G83" i="17"/>
  <c r="G81" i="17"/>
  <c r="G79" i="17"/>
  <c r="U109" i="17"/>
  <c r="U108" i="17"/>
  <c r="U107" i="17"/>
  <c r="U106" i="17"/>
  <c r="U105" i="17"/>
  <c r="U104" i="17"/>
  <c r="U103" i="17"/>
  <c r="U102" i="17"/>
  <c r="U101" i="17"/>
  <c r="R110" i="17"/>
  <c r="U100" i="17"/>
  <c r="S100" i="17"/>
  <c r="T100" i="17"/>
  <c r="R100" i="17"/>
  <c r="U99" i="17"/>
  <c r="U98" i="17"/>
  <c r="U97" i="17"/>
  <c r="U96" i="17"/>
  <c r="U95" i="17"/>
  <c r="U91" i="17"/>
  <c r="U92" i="17"/>
  <c r="U93" i="17"/>
  <c r="U90" i="17"/>
  <c r="U82" i="17"/>
  <c r="U83" i="17"/>
  <c r="U81" i="17"/>
  <c r="U78" i="17"/>
  <c r="T93" i="17"/>
  <c r="T92" i="17"/>
  <c r="T90" i="17"/>
  <c r="S88" i="17"/>
  <c r="R86" i="17"/>
  <c r="R89" i="17" s="1"/>
  <c r="U88" i="17"/>
  <c r="U87" i="17"/>
  <c r="U85" i="17"/>
  <c r="S89" i="17"/>
  <c r="T89" i="17"/>
  <c r="U86" i="17" l="1"/>
  <c r="U89" i="17"/>
  <c r="H34" i="11" l="1"/>
  <c r="E27" i="11" l="1"/>
  <c r="E26" i="11"/>
  <c r="E25" i="11"/>
  <c r="E41" i="11"/>
  <c r="E40" i="11"/>
  <c r="E38" i="11"/>
  <c r="E37" i="11"/>
  <c r="E35" i="11"/>
  <c r="E34" i="11"/>
  <c r="E32" i="11"/>
  <c r="E31" i="11"/>
  <c r="E29" i="11"/>
  <c r="E28" i="11"/>
  <c r="D42" i="11"/>
  <c r="D43" i="11" s="1"/>
  <c r="D39" i="11"/>
  <c r="E39" i="11" s="1"/>
  <c r="D36" i="11"/>
  <c r="E36" i="11" s="1"/>
  <c r="D33" i="11"/>
  <c r="E33" i="11" s="1"/>
  <c r="D30" i="11"/>
  <c r="E30" i="11" s="1"/>
  <c r="D27" i="11"/>
  <c r="C42" i="11"/>
  <c r="C43" i="11" s="1"/>
  <c r="C39" i="11"/>
  <c r="C36" i="11"/>
  <c r="C33" i="11"/>
  <c r="C30" i="11"/>
  <c r="C27" i="11"/>
  <c r="E42" i="11" l="1"/>
  <c r="N5" i="11"/>
  <c r="N6" i="11"/>
  <c r="N7" i="11"/>
  <c r="N8" i="11"/>
  <c r="N9" i="11"/>
  <c r="N10" i="11"/>
  <c r="N11" i="11"/>
  <c r="N12" i="11"/>
  <c r="N4" i="11"/>
  <c r="M13" i="11"/>
  <c r="H18" i="11"/>
  <c r="H17" i="11"/>
  <c r="H15" i="11"/>
  <c r="H14" i="11"/>
  <c r="H12" i="11"/>
  <c r="H11" i="11"/>
  <c r="H9" i="11"/>
  <c r="H8" i="11"/>
  <c r="H5" i="11"/>
  <c r="H6" i="11"/>
  <c r="C19" i="11"/>
  <c r="C16" i="11"/>
  <c r="C13" i="11"/>
  <c r="C10" i="11"/>
  <c r="C7" i="11"/>
  <c r="C20" i="11" l="1"/>
  <c r="L13" i="11" l="1"/>
  <c r="N13" i="11" s="1"/>
  <c r="I18" i="11" l="1"/>
  <c r="I15" i="11"/>
  <c r="I14" i="11"/>
  <c r="I6" i="11"/>
  <c r="I17" i="11"/>
  <c r="I12" i="11"/>
  <c r="I11" i="11"/>
  <c r="I9" i="11"/>
  <c r="I8" i="11"/>
  <c r="I5" i="11"/>
  <c r="J16" i="24"/>
  <c r="K16" i="24"/>
  <c r="L16" i="24"/>
  <c r="M16" i="24"/>
  <c r="L33" i="24"/>
  <c r="J33" i="24"/>
  <c r="N33" i="24"/>
  <c r="J32" i="24"/>
  <c r="K43" i="8" l="1"/>
  <c r="J48" i="8"/>
  <c r="I48" i="8"/>
  <c r="H48" i="8"/>
  <c r="H18" i="8"/>
  <c r="I18" i="8"/>
  <c r="K34" i="5" l="1"/>
  <c r="K33" i="5"/>
  <c r="K32" i="5"/>
  <c r="AH67" i="3" l="1"/>
  <c r="AG67" i="3"/>
  <c r="AE67" i="3"/>
  <c r="AD67" i="3"/>
  <c r="AK66" i="3"/>
  <c r="AJ66" i="3"/>
  <c r="AF66" i="3" s="1"/>
  <c r="AK65" i="3"/>
  <c r="AJ65" i="3"/>
  <c r="AF65" i="3" s="1"/>
  <c r="AH64" i="3"/>
  <c r="AG64" i="3"/>
  <c r="AE64" i="3"/>
  <c r="AD64" i="3"/>
  <c r="AK63" i="3"/>
  <c r="AJ63" i="3"/>
  <c r="AI63" i="3" s="1"/>
  <c r="AH62" i="3"/>
  <c r="AG62" i="3"/>
  <c r="AE62" i="3"/>
  <c r="AD62" i="3"/>
  <c r="AK61" i="3"/>
  <c r="AJ61" i="3"/>
  <c r="AI61" i="3" s="1"/>
  <c r="AK60" i="3"/>
  <c r="AJ60" i="3"/>
  <c r="AF60" i="3" s="1"/>
  <c r="AK59" i="3"/>
  <c r="AJ59" i="3"/>
  <c r="AI59" i="3" s="1"/>
  <c r="AH57" i="3"/>
  <c r="G85" i="3" s="1"/>
  <c r="AG57" i="3"/>
  <c r="F85" i="3" s="1"/>
  <c r="AE57" i="3"/>
  <c r="E85" i="3" s="1"/>
  <c r="AD57" i="3"/>
  <c r="D85" i="3" s="1"/>
  <c r="AK56" i="3"/>
  <c r="AJ56" i="3"/>
  <c r="AI56" i="3" s="1"/>
  <c r="AH55" i="3"/>
  <c r="G82" i="3" s="1"/>
  <c r="AG55" i="3"/>
  <c r="F82" i="3" s="1"/>
  <c r="AE55" i="3"/>
  <c r="E82" i="3" s="1"/>
  <c r="AD55" i="3"/>
  <c r="D82" i="3" s="1"/>
  <c r="AK54" i="3"/>
  <c r="AJ54" i="3"/>
  <c r="AI54" i="3" s="1"/>
  <c r="AH53" i="3"/>
  <c r="AG53" i="3"/>
  <c r="AE53" i="3"/>
  <c r="E79" i="3" s="1"/>
  <c r="AD53" i="3"/>
  <c r="D79" i="3" s="1"/>
  <c r="AK52" i="3"/>
  <c r="AJ52" i="3"/>
  <c r="AI52" i="3" s="1"/>
  <c r="AK51" i="3"/>
  <c r="AJ51" i="3"/>
  <c r="AI51" i="3" s="1"/>
  <c r="AK50" i="3"/>
  <c r="AJ50" i="3"/>
  <c r="AI50" i="3" s="1"/>
  <c r="F71" i="3"/>
  <c r="S6" i="3" s="1"/>
  <c r="G71" i="3"/>
  <c r="H71" i="3"/>
  <c r="T6" i="3" s="1"/>
  <c r="E71" i="3"/>
  <c r="F67" i="3"/>
  <c r="S7" i="3" s="1"/>
  <c r="G67" i="3"/>
  <c r="H67" i="3"/>
  <c r="T7" i="3" s="1"/>
  <c r="E67" i="3"/>
  <c r="F63" i="3"/>
  <c r="G63" i="3"/>
  <c r="H63" i="3"/>
  <c r="E63" i="3"/>
  <c r="F79" i="3" l="1"/>
  <c r="G79" i="3"/>
  <c r="H85" i="3"/>
  <c r="G72" i="3"/>
  <c r="AI65" i="3"/>
  <c r="AG58" i="3"/>
  <c r="AP5" i="3" s="1"/>
  <c r="AE68" i="3"/>
  <c r="AE58" i="3"/>
  <c r="AH68" i="3"/>
  <c r="AG68" i="3"/>
  <c r="AD68" i="3"/>
  <c r="AK53" i="3"/>
  <c r="AJ57" i="3"/>
  <c r="AF61" i="3"/>
  <c r="AH58" i="3"/>
  <c r="AK64" i="3"/>
  <c r="AJ53" i="3"/>
  <c r="AJ55" i="3"/>
  <c r="AK57" i="3"/>
  <c r="AK62" i="3"/>
  <c r="AJ67" i="3"/>
  <c r="AI67" i="3" s="1"/>
  <c r="AK55" i="3"/>
  <c r="AD58" i="3"/>
  <c r="AI60" i="3"/>
  <c r="AK67" i="3"/>
  <c r="E72" i="3"/>
  <c r="AF59" i="3"/>
  <c r="AJ64" i="3"/>
  <c r="AF64" i="3" s="1"/>
  <c r="H72" i="3"/>
  <c r="F72" i="3"/>
  <c r="AJ62" i="3"/>
  <c r="AF63" i="3"/>
  <c r="AF51" i="3"/>
  <c r="AF54" i="3"/>
  <c r="AF50" i="3"/>
  <c r="AF56" i="3"/>
  <c r="AF52" i="3"/>
  <c r="S8" i="3"/>
  <c r="T8" i="3"/>
  <c r="AE69" i="3" l="1"/>
  <c r="AD69" i="3"/>
  <c r="AF69" i="3" s="1"/>
  <c r="AG69" i="3"/>
  <c r="AH69" i="3"/>
  <c r="H79" i="3"/>
  <c r="H82" i="3"/>
  <c r="I79" i="3"/>
  <c r="I82" i="3"/>
  <c r="I85" i="3"/>
  <c r="AV43" i="3"/>
  <c r="AV44" i="3" s="1"/>
  <c r="AK58" i="3"/>
  <c r="AS43" i="3"/>
  <c r="AF55" i="3"/>
  <c r="D15" i="3"/>
  <c r="AF57" i="3"/>
  <c r="D14" i="3"/>
  <c r="AF53" i="3"/>
  <c r="D16" i="3"/>
  <c r="AJ58" i="3"/>
  <c r="AI58" i="3" s="1"/>
  <c r="AO5" i="3"/>
  <c r="AI57" i="3"/>
  <c r="AI53" i="3"/>
  <c r="AI55" i="3"/>
  <c r="AK68" i="3"/>
  <c r="AK69" i="3" s="1"/>
  <c r="AF67" i="3"/>
  <c r="AF62" i="3"/>
  <c r="AJ68" i="3"/>
  <c r="AJ69" i="3" s="1"/>
  <c r="AI64" i="3"/>
  <c r="AI62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51" i="3"/>
  <c r="C31" i="3" l="1"/>
  <c r="AI69" i="3"/>
  <c r="AU43" i="3"/>
  <c r="AU44" i="3" s="1"/>
  <c r="AF58" i="3"/>
  <c r="AR43" i="3"/>
  <c r="AF68" i="3"/>
  <c r="AI68" i="3"/>
  <c r="F7" i="11"/>
  <c r="G7" i="11"/>
  <c r="F10" i="11"/>
  <c r="G10" i="11"/>
  <c r="F13" i="11"/>
  <c r="G13" i="11"/>
  <c r="F16" i="11"/>
  <c r="G16" i="11"/>
  <c r="F19" i="11"/>
  <c r="G19" i="11"/>
  <c r="F63" i="10"/>
  <c r="F62" i="10"/>
  <c r="F61" i="10"/>
  <c r="F60" i="10"/>
  <c r="F59" i="10"/>
  <c r="F58" i="10"/>
  <c r="F57" i="10"/>
  <c r="F56" i="10"/>
  <c r="M63" i="10"/>
  <c r="K64" i="10"/>
  <c r="C64" i="10"/>
  <c r="D64" i="10"/>
  <c r="F39" i="10"/>
  <c r="F41" i="10"/>
  <c r="F42" i="10"/>
  <c r="F38" i="10"/>
  <c r="D43" i="10"/>
  <c r="C40" i="10"/>
  <c r="C43" i="10"/>
  <c r="AY43" i="3" l="1"/>
  <c r="AS44" i="3"/>
  <c r="AY44" i="3" s="1"/>
  <c r="AR44" i="3"/>
  <c r="AX44" i="3" s="1"/>
  <c r="AX43" i="3"/>
  <c r="AW43" i="3" s="1"/>
  <c r="G20" i="11"/>
  <c r="F20" i="11"/>
  <c r="C44" i="10"/>
  <c r="K33" i="10"/>
  <c r="L21" i="10"/>
  <c r="K21" i="10"/>
  <c r="J21" i="10"/>
  <c r="L18" i="10"/>
  <c r="K18" i="10"/>
  <c r="J18" i="10"/>
  <c r="L15" i="10"/>
  <c r="K15" i="10"/>
  <c r="J15" i="10"/>
  <c r="L12" i="10"/>
  <c r="K12" i="10"/>
  <c r="J12" i="10"/>
  <c r="L9" i="10"/>
  <c r="K9" i="10"/>
  <c r="J9" i="10"/>
  <c r="K6" i="10"/>
  <c r="AT43" i="3" l="1"/>
  <c r="AT44" i="3"/>
  <c r="AW44" i="3"/>
  <c r="K22" i="10"/>
  <c r="F26" i="10"/>
  <c r="F27" i="10"/>
  <c r="F28" i="10"/>
  <c r="F29" i="10"/>
  <c r="F30" i="10"/>
  <c r="F31" i="10"/>
  <c r="F32" i="10"/>
  <c r="F25" i="10"/>
  <c r="C33" i="10"/>
  <c r="F5" i="10"/>
  <c r="F7" i="10"/>
  <c r="F8" i="10"/>
  <c r="F10" i="10"/>
  <c r="F11" i="10"/>
  <c r="F13" i="10"/>
  <c r="F14" i="10"/>
  <c r="F4" i="10"/>
  <c r="C15" i="10" l="1"/>
  <c r="C12" i="10"/>
  <c r="C9" i="10"/>
  <c r="C6" i="10"/>
  <c r="C16" i="10" l="1"/>
  <c r="I5" i="6"/>
  <c r="F13" i="6"/>
  <c r="G13" i="6"/>
  <c r="H13" i="6"/>
  <c r="E13" i="6"/>
  <c r="I9" i="6" l="1"/>
  <c r="I10" i="6"/>
  <c r="I11" i="6"/>
  <c r="E11" i="7" l="1"/>
  <c r="I11" i="7"/>
  <c r="J11" i="7" s="1"/>
  <c r="I7" i="7" l="1"/>
  <c r="E7" i="7" l="1"/>
  <c r="J7" i="7" s="1"/>
  <c r="E8" i="7"/>
  <c r="I8" i="7" l="1"/>
  <c r="J8" i="7" s="1"/>
  <c r="F12" i="6"/>
  <c r="G12" i="6"/>
  <c r="H12" i="6"/>
  <c r="E12" i="6"/>
  <c r="D40" i="6" l="1"/>
  <c r="C40" i="6"/>
  <c r="M102" i="22" l="1"/>
  <c r="N102" i="22"/>
  <c r="M103" i="22"/>
  <c r="N103" i="22"/>
  <c r="M104" i="22"/>
  <c r="N104" i="22"/>
  <c r="M105" i="22"/>
  <c r="N105" i="22"/>
  <c r="M106" i="22"/>
  <c r="N106" i="22"/>
  <c r="M107" i="22"/>
  <c r="N107" i="22"/>
  <c r="M108" i="22"/>
  <c r="N108" i="22"/>
  <c r="M109" i="22"/>
  <c r="N109" i="22"/>
  <c r="M110" i="22"/>
  <c r="N110" i="22"/>
  <c r="M111" i="22"/>
  <c r="N111" i="22"/>
  <c r="L103" i="22"/>
  <c r="L104" i="22"/>
  <c r="L105" i="22"/>
  <c r="L106" i="22"/>
  <c r="L107" i="22"/>
  <c r="L108" i="22"/>
  <c r="L109" i="22"/>
  <c r="L110" i="22"/>
  <c r="L111" i="22"/>
  <c r="L102" i="22"/>
  <c r="N69" i="22"/>
  <c r="M69" i="22"/>
  <c r="G77" i="22"/>
  <c r="G76" i="22"/>
  <c r="G75" i="22"/>
  <c r="G74" i="22"/>
  <c r="G73" i="22"/>
  <c r="O14" i="15"/>
  <c r="N14" i="15"/>
  <c r="P12" i="15"/>
  <c r="P13" i="15"/>
  <c r="P11" i="15"/>
  <c r="P14" i="15" l="1"/>
  <c r="E19" i="16" l="1"/>
  <c r="E20" i="16"/>
  <c r="E21" i="16"/>
  <c r="E22" i="16"/>
  <c r="E18" i="16"/>
  <c r="E14" i="15"/>
  <c r="C15" i="15"/>
  <c r="L13" i="21" l="1"/>
  <c r="K50" i="21"/>
  <c r="E79" i="10" l="1"/>
  <c r="E78" i="10"/>
  <c r="E76" i="10"/>
  <c r="E75" i="10"/>
  <c r="E73" i="10"/>
  <c r="E72" i="10"/>
  <c r="E70" i="10"/>
  <c r="E69" i="10"/>
  <c r="K85" i="10"/>
  <c r="K84" i="10"/>
  <c r="K82" i="10"/>
  <c r="K81" i="10"/>
  <c r="K79" i="10"/>
  <c r="K78" i="10"/>
  <c r="K76" i="10"/>
  <c r="K75" i="10"/>
  <c r="K73" i="10"/>
  <c r="K72" i="10"/>
  <c r="K70" i="10"/>
  <c r="K69" i="10"/>
  <c r="J74" i="10"/>
  <c r="I74" i="10"/>
  <c r="C74" i="10"/>
  <c r="E97" i="10"/>
  <c r="E96" i="10"/>
  <c r="E95" i="10"/>
  <c r="E94" i="10"/>
  <c r="E93" i="10"/>
  <c r="E92" i="10"/>
  <c r="E91" i="10"/>
  <c r="E90" i="10"/>
  <c r="K91" i="10"/>
  <c r="K92" i="10"/>
  <c r="K93" i="10"/>
  <c r="K94" i="10"/>
  <c r="K95" i="10"/>
  <c r="K96" i="10"/>
  <c r="K97" i="10"/>
  <c r="K90" i="10"/>
  <c r="M57" i="10"/>
  <c r="M58" i="10"/>
  <c r="M59" i="10"/>
  <c r="M60" i="10"/>
  <c r="M61" i="10"/>
  <c r="M62" i="10"/>
  <c r="M56" i="10"/>
  <c r="M51" i="10"/>
  <c r="M50" i="10"/>
  <c r="M48" i="10"/>
  <c r="M47" i="10"/>
  <c r="M45" i="10"/>
  <c r="M44" i="10"/>
  <c r="M42" i="10"/>
  <c r="M41" i="10"/>
  <c r="M39" i="10"/>
  <c r="M38" i="10"/>
  <c r="K74" i="10" l="1"/>
  <c r="F8" i="6"/>
  <c r="G8" i="6"/>
  <c r="H8" i="6"/>
  <c r="E8" i="6"/>
  <c r="I6" i="6"/>
  <c r="I7" i="6"/>
  <c r="I8" i="6" l="1"/>
  <c r="D41" i="26"/>
  <c r="D43" i="26"/>
  <c r="D44" i="26" l="1"/>
  <c r="D42" i="26"/>
  <c r="B54" i="27" l="1"/>
  <c r="G13" i="27" l="1"/>
  <c r="Q16" i="24" l="1"/>
  <c r="R16" i="24"/>
  <c r="B9" i="27" l="1"/>
  <c r="B13" i="27" s="1"/>
  <c r="I36" i="25" l="1"/>
  <c r="T73" i="3" l="1"/>
  <c r="S73" i="3"/>
  <c r="Q73" i="3"/>
  <c r="P73" i="3"/>
  <c r="T64" i="3"/>
  <c r="S64" i="3"/>
  <c r="Q64" i="3"/>
  <c r="P64" i="3"/>
  <c r="T55" i="3"/>
  <c r="S55" i="3"/>
  <c r="Q55" i="3"/>
  <c r="P55" i="3"/>
  <c r="G10" i="16" l="1"/>
  <c r="G11" i="16"/>
  <c r="G12" i="16"/>
  <c r="G13" i="16"/>
  <c r="G14" i="16"/>
  <c r="C15" i="16"/>
  <c r="D23" i="16"/>
  <c r="C23" i="16"/>
  <c r="E23" i="16" l="1"/>
  <c r="AZ6" i="2"/>
  <c r="AZ5" i="2"/>
  <c r="AY5" i="2"/>
  <c r="AY6" i="2"/>
  <c r="AX6" i="2"/>
  <c r="AX5" i="2"/>
  <c r="D25" i="2" l="1"/>
  <c r="C25" i="2"/>
  <c r="E25" i="2"/>
  <c r="AS12" i="2" l="1"/>
  <c r="C8" i="13" l="1"/>
  <c r="B8" i="13"/>
  <c r="D8" i="13" s="1"/>
  <c r="D7" i="13"/>
  <c r="D6" i="13"/>
  <c r="D5" i="13"/>
  <c r="D4" i="13"/>
  <c r="B4" i="1"/>
  <c r="B3" i="1"/>
  <c r="D15" i="1"/>
  <c r="E15" i="1"/>
  <c r="C15" i="1"/>
  <c r="E14" i="1"/>
  <c r="D14" i="1"/>
  <c r="C14" i="1"/>
  <c r="E13" i="1"/>
  <c r="E12" i="1"/>
  <c r="E11" i="1"/>
  <c r="E8" i="1"/>
  <c r="E9" i="1"/>
  <c r="E7" i="1"/>
  <c r="D10" i="1"/>
  <c r="C10" i="1"/>
  <c r="E10" i="1" l="1"/>
  <c r="C23" i="23" l="1"/>
  <c r="B23" i="23"/>
  <c r="M8" i="23" l="1"/>
  <c r="L8" i="23"/>
  <c r="N8" i="23" s="1"/>
  <c r="N7" i="23"/>
  <c r="N6" i="23"/>
  <c r="H8" i="23"/>
  <c r="G8" i="23"/>
  <c r="I7" i="23"/>
  <c r="I6" i="23"/>
  <c r="C8" i="23"/>
  <c r="B8" i="23"/>
  <c r="D7" i="23"/>
  <c r="D6" i="23"/>
  <c r="I8" i="23" l="1"/>
  <c r="D8" i="23"/>
  <c r="K44" i="21" l="1"/>
  <c r="M71" i="21" l="1"/>
  <c r="L71" i="21"/>
  <c r="K71" i="21"/>
  <c r="M64" i="21"/>
  <c r="L64" i="21"/>
  <c r="M62" i="21"/>
  <c r="L62" i="21"/>
  <c r="K62" i="21"/>
  <c r="M59" i="21"/>
  <c r="L59" i="21"/>
  <c r="K59" i="21"/>
  <c r="M57" i="21"/>
  <c r="L57" i="21"/>
  <c r="K57" i="21"/>
  <c r="M52" i="21"/>
  <c r="L52" i="21"/>
  <c r="K52" i="21"/>
  <c r="M46" i="21"/>
  <c r="L46" i="21"/>
  <c r="K46" i="21"/>
  <c r="M44" i="21"/>
  <c r="D59" i="21"/>
  <c r="E59" i="21"/>
  <c r="F59" i="21"/>
  <c r="F44" i="21"/>
  <c r="D52" i="21"/>
  <c r="E52" i="21"/>
  <c r="F52" i="21"/>
  <c r="D57" i="21"/>
  <c r="E57" i="21"/>
  <c r="F57" i="21"/>
  <c r="E71" i="21"/>
  <c r="F71" i="21"/>
  <c r="E64" i="21"/>
  <c r="F64" i="21"/>
  <c r="E62" i="21"/>
  <c r="F62" i="21"/>
  <c r="D62" i="21"/>
  <c r="D64" i="21"/>
  <c r="D71" i="21"/>
  <c r="M72" i="21" l="1"/>
  <c r="K64" i="21"/>
  <c r="N71" i="21" l="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1" i="21"/>
  <c r="N50" i="21"/>
  <c r="N49" i="21"/>
  <c r="N48" i="21"/>
  <c r="N47" i="21"/>
  <c r="N46" i="21"/>
  <c r="N45" i="21"/>
  <c r="L44" i="21"/>
  <c r="L72" i="21" s="1"/>
  <c r="K72" i="21"/>
  <c r="N43" i="21"/>
  <c r="N42" i="21"/>
  <c r="N41" i="21"/>
  <c r="N40" i="21"/>
  <c r="N39" i="21"/>
  <c r="G47" i="21"/>
  <c r="G48" i="21"/>
  <c r="G49" i="21"/>
  <c r="G50" i="21"/>
  <c r="G51" i="21"/>
  <c r="G53" i="21"/>
  <c r="G54" i="21"/>
  <c r="G55" i="21"/>
  <c r="G56" i="21"/>
  <c r="G58" i="21"/>
  <c r="G59" i="21"/>
  <c r="G60" i="21"/>
  <c r="G61" i="21"/>
  <c r="G63" i="21"/>
  <c r="G64" i="21"/>
  <c r="G65" i="21"/>
  <c r="G66" i="21"/>
  <c r="G67" i="21"/>
  <c r="G68" i="21"/>
  <c r="G69" i="21"/>
  <c r="G70" i="21"/>
  <c r="G39" i="21"/>
  <c r="D44" i="21"/>
  <c r="E44" i="21"/>
  <c r="N44" i="21" l="1"/>
  <c r="N72" i="21"/>
  <c r="N52" i="21"/>
  <c r="G44" i="21"/>
  <c r="G62" i="21" l="1"/>
  <c r="G40" i="21"/>
  <c r="G41" i="21"/>
  <c r="G42" i="21"/>
  <c r="G43" i="21"/>
  <c r="G45" i="21"/>
  <c r="G71" i="21" l="1"/>
  <c r="C83" i="21"/>
  <c r="L32" i="21" l="1"/>
  <c r="K32" i="21"/>
  <c r="E32" i="21"/>
  <c r="D32" i="21"/>
  <c r="M31" i="21"/>
  <c r="F31" i="21"/>
  <c r="L30" i="21"/>
  <c r="K30" i="21"/>
  <c r="E30" i="21"/>
  <c r="D30" i="21"/>
  <c r="M29" i="21"/>
  <c r="F29" i="21"/>
  <c r="L28" i="21"/>
  <c r="K28" i="21"/>
  <c r="E28" i="21"/>
  <c r="D28" i="21"/>
  <c r="M27" i="21"/>
  <c r="F27" i="21"/>
  <c r="M26" i="21"/>
  <c r="F26" i="21"/>
  <c r="M25" i="21"/>
  <c r="F25" i="21"/>
  <c r="M32" i="21" l="1"/>
  <c r="M30" i="21"/>
  <c r="F32" i="21"/>
  <c r="F28" i="21"/>
  <c r="F30" i="21"/>
  <c r="M28" i="21"/>
  <c r="L24" i="21"/>
  <c r="K24" i="21"/>
  <c r="M23" i="21"/>
  <c r="M22" i="21"/>
  <c r="M21" i="21"/>
  <c r="L20" i="21"/>
  <c r="K20" i="21"/>
  <c r="M19" i="21"/>
  <c r="M18" i="21"/>
  <c r="M17" i="21"/>
  <c r="L16" i="21"/>
  <c r="K16" i="21"/>
  <c r="M15" i="21"/>
  <c r="M14" i="21"/>
  <c r="M13" i="21"/>
  <c r="L12" i="21"/>
  <c r="K12" i="21"/>
  <c r="M11" i="21"/>
  <c r="M10" i="21"/>
  <c r="M9" i="21"/>
  <c r="L8" i="21"/>
  <c r="K8" i="21"/>
  <c r="M7" i="21"/>
  <c r="M6" i="21"/>
  <c r="M5" i="21"/>
  <c r="E24" i="21"/>
  <c r="D24" i="21"/>
  <c r="F23" i="21"/>
  <c r="F22" i="21"/>
  <c r="F21" i="21"/>
  <c r="E20" i="21"/>
  <c r="D20" i="21"/>
  <c r="F19" i="21"/>
  <c r="F18" i="21"/>
  <c r="F17" i="21"/>
  <c r="E16" i="21"/>
  <c r="D16" i="21"/>
  <c r="F15" i="21"/>
  <c r="F14" i="21"/>
  <c r="F13" i="21"/>
  <c r="E12" i="21"/>
  <c r="D12" i="21"/>
  <c r="F11" i="21"/>
  <c r="F10" i="21"/>
  <c r="F9" i="21"/>
  <c r="E8" i="21"/>
  <c r="D8" i="21"/>
  <c r="K33" i="21" l="1"/>
  <c r="E33" i="21"/>
  <c r="L33" i="21"/>
  <c r="M20" i="21"/>
  <c r="D33" i="21"/>
  <c r="F24" i="21"/>
  <c r="F12" i="21"/>
  <c r="M8" i="21"/>
  <c r="M12" i="21"/>
  <c r="M24" i="21"/>
  <c r="F20" i="21"/>
  <c r="M16" i="21"/>
  <c r="F16" i="21"/>
  <c r="T110" i="17"/>
  <c r="S110" i="17"/>
  <c r="T94" i="17"/>
  <c r="S94" i="17"/>
  <c r="R94" i="17"/>
  <c r="T84" i="17"/>
  <c r="S84" i="17"/>
  <c r="R84" i="17"/>
  <c r="T80" i="17"/>
  <c r="S80" i="17"/>
  <c r="R80" i="17"/>
  <c r="U79" i="17" s="1"/>
  <c r="U80" i="17" s="1"/>
  <c r="T78" i="17"/>
  <c r="S78" i="17"/>
  <c r="R78" i="17"/>
  <c r="E110" i="17"/>
  <c r="E111" i="17" s="1"/>
  <c r="F110" i="17"/>
  <c r="F111" i="17" s="1"/>
  <c r="D110" i="17"/>
  <c r="D111" i="17" s="1"/>
  <c r="E94" i="17"/>
  <c r="F94" i="17"/>
  <c r="D94" i="17"/>
  <c r="E84" i="17"/>
  <c r="F84" i="17"/>
  <c r="D84" i="17"/>
  <c r="F80" i="17"/>
  <c r="E80" i="17"/>
  <c r="D80" i="17"/>
  <c r="G80" i="17" s="1"/>
  <c r="E78" i="17"/>
  <c r="F78" i="17"/>
  <c r="D78" i="17"/>
  <c r="C54" i="17"/>
  <c r="D54" i="17"/>
  <c r="G77" i="17"/>
  <c r="G78" i="17" s="1"/>
  <c r="S39" i="17"/>
  <c r="R111" i="17" l="1"/>
  <c r="S111" i="17"/>
  <c r="T111" i="17"/>
  <c r="U84" i="17"/>
  <c r="G84" i="17"/>
  <c r="U94" i="17"/>
  <c r="U77" i="17"/>
  <c r="G94" i="17"/>
  <c r="M33" i="21"/>
  <c r="U110" i="17"/>
  <c r="U111" i="17" l="1"/>
  <c r="G111" i="17"/>
  <c r="J49" i="14" l="1"/>
  <c r="E33" i="25" l="1"/>
  <c r="D33" i="25"/>
  <c r="C33" i="25"/>
  <c r="B33" i="25"/>
  <c r="I32" i="25"/>
  <c r="H32" i="25"/>
  <c r="J32" i="25" s="1"/>
  <c r="G32" i="25"/>
  <c r="F32" i="25"/>
  <c r="I31" i="25"/>
  <c r="H31" i="25"/>
  <c r="G31" i="25"/>
  <c r="F31" i="25"/>
  <c r="I30" i="25"/>
  <c r="H30" i="25"/>
  <c r="G30" i="25"/>
  <c r="F30" i="25"/>
  <c r="I29" i="25"/>
  <c r="H29" i="25"/>
  <c r="G29" i="25"/>
  <c r="F29" i="25"/>
  <c r="I28" i="25"/>
  <c r="H28" i="25"/>
  <c r="G28" i="25"/>
  <c r="F28" i="25"/>
  <c r="I27" i="25"/>
  <c r="H27" i="25"/>
  <c r="G27" i="25"/>
  <c r="F27" i="25"/>
  <c r="I26" i="25"/>
  <c r="H26" i="25"/>
  <c r="J26" i="25" s="1"/>
  <c r="G26" i="25"/>
  <c r="F26" i="25"/>
  <c r="I25" i="25"/>
  <c r="H25" i="25"/>
  <c r="G25" i="25"/>
  <c r="F25" i="25"/>
  <c r="I24" i="25"/>
  <c r="H24" i="25"/>
  <c r="J24" i="25" s="1"/>
  <c r="G24" i="25"/>
  <c r="F24" i="25"/>
  <c r="G10" i="25"/>
  <c r="G11" i="25"/>
  <c r="G12" i="25"/>
  <c r="G13" i="25"/>
  <c r="G14" i="25"/>
  <c r="G15" i="25"/>
  <c r="G16" i="25"/>
  <c r="G17" i="25"/>
  <c r="G9" i="25"/>
  <c r="E18" i="25"/>
  <c r="F10" i="25"/>
  <c r="F11" i="25"/>
  <c r="F12" i="25"/>
  <c r="F13" i="25"/>
  <c r="F14" i="25"/>
  <c r="F15" i="25"/>
  <c r="F16" i="25"/>
  <c r="F17" i="25"/>
  <c r="F9" i="25"/>
  <c r="B18" i="25"/>
  <c r="C18" i="25"/>
  <c r="D18" i="25"/>
  <c r="H10" i="25"/>
  <c r="I10" i="25"/>
  <c r="H11" i="25"/>
  <c r="I11" i="25"/>
  <c r="H12" i="25"/>
  <c r="I12" i="25"/>
  <c r="H13" i="25"/>
  <c r="I13" i="25"/>
  <c r="H14" i="25"/>
  <c r="I14" i="25"/>
  <c r="H15" i="25"/>
  <c r="I15" i="25"/>
  <c r="H16" i="25"/>
  <c r="I16" i="25"/>
  <c r="H17" i="25"/>
  <c r="I17" i="25"/>
  <c r="I9" i="25"/>
  <c r="H9" i="25"/>
  <c r="G33" i="25" l="1"/>
  <c r="J25" i="25"/>
  <c r="F18" i="25"/>
  <c r="J16" i="25"/>
  <c r="F33" i="25"/>
  <c r="I33" i="25"/>
  <c r="J27" i="25"/>
  <c r="J29" i="25"/>
  <c r="J31" i="25"/>
  <c r="H33" i="25"/>
  <c r="J28" i="25"/>
  <c r="J30" i="25"/>
  <c r="G18" i="25"/>
  <c r="J10" i="25"/>
  <c r="J17" i="25"/>
  <c r="J9" i="25"/>
  <c r="J11" i="25"/>
  <c r="H18" i="25"/>
  <c r="J13" i="25"/>
  <c r="I18" i="25"/>
  <c r="J15" i="25"/>
  <c r="J12" i="25"/>
  <c r="J14" i="25"/>
  <c r="J33" i="25" l="1"/>
  <c r="J18" i="25"/>
  <c r="AC10" i="2" l="1"/>
  <c r="E62" i="17" l="1"/>
  <c r="E63" i="17"/>
  <c r="E64" i="17"/>
  <c r="E65" i="17"/>
  <c r="E66" i="17"/>
  <c r="E67" i="17"/>
  <c r="E61" i="17"/>
  <c r="D68" i="17"/>
  <c r="C68" i="17"/>
  <c r="E68" i="17" l="1"/>
  <c r="E48" i="17" l="1"/>
  <c r="E49" i="17"/>
  <c r="E50" i="17"/>
  <c r="E51" i="17"/>
  <c r="E52" i="17"/>
  <c r="E53" i="17"/>
  <c r="E47" i="17"/>
  <c r="S66" i="17" l="1"/>
  <c r="S63" i="17"/>
  <c r="S61" i="17"/>
  <c r="S62" i="17"/>
  <c r="S64" i="17"/>
  <c r="S65" i="17"/>
  <c r="S53" i="17"/>
  <c r="R54" i="17" l="1"/>
  <c r="Q54" i="17"/>
  <c r="D39" i="26" l="1"/>
  <c r="C39" i="26"/>
  <c r="E36" i="26"/>
  <c r="E37" i="26"/>
  <c r="E38" i="26"/>
  <c r="E28" i="26"/>
  <c r="F28" i="26" s="1"/>
  <c r="E27" i="26"/>
  <c r="F27" i="26" s="1"/>
  <c r="E26" i="26"/>
  <c r="G26" i="26" s="1"/>
  <c r="E25" i="26"/>
  <c r="F25" i="26" s="1"/>
  <c r="E24" i="26"/>
  <c r="F24" i="26" s="1"/>
  <c r="D17" i="26"/>
  <c r="C17" i="26"/>
  <c r="E17" i="26" s="1"/>
  <c r="E18" i="26"/>
  <c r="F18" i="26" s="1"/>
  <c r="D16" i="26"/>
  <c r="D19" i="26" s="1"/>
  <c r="C16" i="26"/>
  <c r="D9" i="26"/>
  <c r="D10" i="26" s="1"/>
  <c r="E8" i="26"/>
  <c r="E7" i="26"/>
  <c r="C9" i="26"/>
  <c r="C10" i="26" s="1"/>
  <c r="E5" i="26"/>
  <c r="E6" i="26" s="1"/>
  <c r="D6" i="26"/>
  <c r="C6" i="26"/>
  <c r="E4" i="26"/>
  <c r="F4" i="26" s="1"/>
  <c r="G39" i="26" l="1"/>
  <c r="G38" i="26"/>
  <c r="F37" i="26"/>
  <c r="G37" i="26"/>
  <c r="F36" i="26"/>
  <c r="G36" i="26"/>
  <c r="E9" i="26"/>
  <c r="E10" i="26" s="1"/>
  <c r="C19" i="26"/>
  <c r="E19" i="26" s="1"/>
  <c r="F19" i="26" s="1"/>
  <c r="F6" i="26"/>
  <c r="C11" i="26"/>
  <c r="F38" i="26"/>
  <c r="F5" i="26"/>
  <c r="E16" i="26"/>
  <c r="F16" i="26" s="1"/>
  <c r="G27" i="26"/>
  <c r="E39" i="26"/>
  <c r="F39" i="26" s="1"/>
  <c r="G28" i="26"/>
  <c r="F26" i="26"/>
  <c r="G25" i="26"/>
  <c r="G24" i="26"/>
  <c r="F17" i="26"/>
  <c r="F8" i="26"/>
  <c r="F7" i="26"/>
  <c r="D11" i="26"/>
  <c r="G40" i="26" l="1"/>
  <c r="F10" i="26"/>
  <c r="E11" i="26"/>
  <c r="F11" i="26" s="1"/>
  <c r="F9" i="26"/>
  <c r="J6" i="20" l="1"/>
  <c r="J7" i="20"/>
  <c r="J8" i="20"/>
  <c r="J9" i="20"/>
  <c r="J10" i="20"/>
  <c r="J11" i="20"/>
  <c r="J12" i="20"/>
  <c r="J13" i="20"/>
  <c r="J14" i="20"/>
  <c r="J5" i="20"/>
  <c r="O103" i="22" l="1"/>
  <c r="O111" i="22"/>
  <c r="K112" i="22"/>
  <c r="D112" i="22"/>
  <c r="C112" i="22"/>
  <c r="B112" i="22"/>
  <c r="I79" i="22"/>
  <c r="H79" i="22"/>
  <c r="G79" i="22"/>
  <c r="C79" i="22"/>
  <c r="B79" i="22"/>
  <c r="J78" i="22"/>
  <c r="D78" i="22"/>
  <c r="J77" i="22"/>
  <c r="D77" i="22"/>
  <c r="J76" i="22"/>
  <c r="D76" i="22"/>
  <c r="J75" i="22"/>
  <c r="D75" i="22"/>
  <c r="J74" i="22"/>
  <c r="D74" i="22"/>
  <c r="N72" i="22"/>
  <c r="M72" i="22"/>
  <c r="J73" i="22"/>
  <c r="D73" i="22"/>
  <c r="O71" i="22"/>
  <c r="J72" i="22"/>
  <c r="D72" i="22"/>
  <c r="O70" i="22"/>
  <c r="J71" i="22"/>
  <c r="D71" i="22"/>
  <c r="O69" i="22"/>
  <c r="J70" i="22"/>
  <c r="D70" i="22"/>
  <c r="J69" i="22"/>
  <c r="D69" i="22"/>
  <c r="O39" i="22"/>
  <c r="O38" i="22"/>
  <c r="O37" i="22"/>
  <c r="O53" i="22"/>
  <c r="O54" i="22"/>
  <c r="O55" i="22"/>
  <c r="N56" i="22"/>
  <c r="M56" i="22"/>
  <c r="O105" i="22" l="1"/>
  <c r="O108" i="22"/>
  <c r="O102" i="22"/>
  <c r="O104" i="22"/>
  <c r="O106" i="22"/>
  <c r="O110" i="22"/>
  <c r="O109" i="22"/>
  <c r="O107" i="22"/>
  <c r="D79" i="22"/>
  <c r="J79" i="22"/>
  <c r="O40" i="22"/>
  <c r="O72" i="22"/>
  <c r="O56" i="22"/>
  <c r="N24" i="22"/>
  <c r="M24" i="22"/>
  <c r="O23" i="22"/>
  <c r="O22" i="22"/>
  <c r="O21" i="22"/>
  <c r="O5" i="22"/>
  <c r="O6" i="22"/>
  <c r="O7" i="22"/>
  <c r="N8" i="22"/>
  <c r="M8" i="22"/>
  <c r="I63" i="22"/>
  <c r="H63" i="22"/>
  <c r="G63" i="22"/>
  <c r="J62" i="22"/>
  <c r="J61" i="22"/>
  <c r="J60" i="22"/>
  <c r="J59" i="22"/>
  <c r="J58" i="22"/>
  <c r="J57" i="22"/>
  <c r="J56" i="22"/>
  <c r="J55" i="22"/>
  <c r="J54" i="22"/>
  <c r="J53" i="22"/>
  <c r="I47" i="22"/>
  <c r="H47" i="22"/>
  <c r="G47" i="22"/>
  <c r="J46" i="22"/>
  <c r="J45" i="22"/>
  <c r="J44" i="22"/>
  <c r="J43" i="22"/>
  <c r="J42" i="22"/>
  <c r="J41" i="22"/>
  <c r="J40" i="22"/>
  <c r="J39" i="22"/>
  <c r="J38" i="22"/>
  <c r="J37" i="22"/>
  <c r="I31" i="22"/>
  <c r="H31" i="22"/>
  <c r="G31" i="22"/>
  <c r="J30" i="22"/>
  <c r="J29" i="22"/>
  <c r="J28" i="22"/>
  <c r="J27" i="22"/>
  <c r="J26" i="22"/>
  <c r="J25" i="22"/>
  <c r="J24" i="22"/>
  <c r="J23" i="22"/>
  <c r="J22" i="22"/>
  <c r="J21" i="22"/>
  <c r="J6" i="22"/>
  <c r="J7" i="22"/>
  <c r="J8" i="22"/>
  <c r="J9" i="22"/>
  <c r="J10" i="22"/>
  <c r="J11" i="22"/>
  <c r="J12" i="22"/>
  <c r="J13" i="22"/>
  <c r="J14" i="22"/>
  <c r="J5" i="22"/>
  <c r="O8" i="22" l="1"/>
  <c r="O24" i="22"/>
  <c r="J63" i="22"/>
  <c r="J47" i="22"/>
  <c r="J31" i="22"/>
  <c r="K160" i="18" l="1"/>
  <c r="J160" i="18"/>
  <c r="I160" i="18"/>
  <c r="H160" i="18"/>
  <c r="L159" i="18"/>
  <c r="L158" i="18"/>
  <c r="L157" i="18"/>
  <c r="L156" i="18"/>
  <c r="L155" i="18"/>
  <c r="K151" i="18"/>
  <c r="J151" i="18"/>
  <c r="I151" i="18"/>
  <c r="H151" i="18"/>
  <c r="L150" i="18"/>
  <c r="L149" i="18"/>
  <c r="L148" i="18"/>
  <c r="L147" i="18"/>
  <c r="L146" i="18"/>
  <c r="L145" i="18"/>
  <c r="L144" i="18"/>
  <c r="L143" i="18"/>
  <c r="L142" i="18"/>
  <c r="L141" i="18"/>
  <c r="L104" i="18"/>
  <c r="L103" i="18"/>
  <c r="K108" i="18"/>
  <c r="J108" i="18"/>
  <c r="I108" i="18"/>
  <c r="H108" i="18"/>
  <c r="L107" i="18"/>
  <c r="L106" i="18"/>
  <c r="L105" i="18"/>
  <c r="K99" i="18"/>
  <c r="J99" i="18"/>
  <c r="I99" i="18"/>
  <c r="H99" i="18"/>
  <c r="L98" i="18"/>
  <c r="L97" i="18"/>
  <c r="L96" i="18"/>
  <c r="L95" i="18"/>
  <c r="L94" i="18"/>
  <c r="L93" i="18"/>
  <c r="L92" i="18"/>
  <c r="L91" i="18"/>
  <c r="L90" i="18"/>
  <c r="L89" i="18"/>
  <c r="K50" i="18"/>
  <c r="K51" i="18"/>
  <c r="K52" i="18"/>
  <c r="K53" i="18"/>
  <c r="K54" i="18"/>
  <c r="K4" i="18"/>
  <c r="K5" i="18"/>
  <c r="K6" i="18"/>
  <c r="K7" i="18"/>
  <c r="K8" i="18"/>
  <c r="K9" i="18"/>
  <c r="K10" i="18"/>
  <c r="K11" i="18"/>
  <c r="K12" i="18"/>
  <c r="K13" i="18"/>
  <c r="K36" i="18"/>
  <c r="K37" i="18"/>
  <c r="K38" i="18"/>
  <c r="K39" i="18"/>
  <c r="K40" i="18"/>
  <c r="K41" i="18"/>
  <c r="K42" i="18"/>
  <c r="K43" i="18"/>
  <c r="K44" i="18"/>
  <c r="K45" i="18"/>
  <c r="J46" i="18"/>
  <c r="I46" i="18"/>
  <c r="H46" i="18"/>
  <c r="D5" i="18"/>
  <c r="C5" i="18"/>
  <c r="L160" i="18" l="1"/>
  <c r="L151" i="18"/>
  <c r="L108" i="18"/>
  <c r="L99" i="18"/>
  <c r="K46" i="18"/>
  <c r="J53" i="14" l="1"/>
  <c r="G53" i="14"/>
  <c r="F53" i="14"/>
  <c r="D53" i="14"/>
  <c r="C53" i="14"/>
  <c r="H52" i="14"/>
  <c r="E52" i="14"/>
  <c r="H51" i="14"/>
  <c r="E51" i="14"/>
  <c r="H50" i="14"/>
  <c r="I50" i="14" s="1"/>
  <c r="E50" i="14"/>
  <c r="H49" i="14"/>
  <c r="I49" i="14" s="1"/>
  <c r="E49" i="14"/>
  <c r="I52" i="14" l="1"/>
  <c r="I51" i="14"/>
  <c r="E53" i="14"/>
  <c r="H53" i="14"/>
  <c r="I53" i="14" l="1"/>
  <c r="S6" i="24"/>
  <c r="S7" i="24"/>
  <c r="S8" i="24"/>
  <c r="S9" i="24"/>
  <c r="S10" i="24"/>
  <c r="S11" i="24"/>
  <c r="S12" i="24"/>
  <c r="S13" i="24"/>
  <c r="S14" i="24"/>
  <c r="S15" i="24"/>
  <c r="S5" i="24"/>
  <c r="F25" i="8"/>
  <c r="F26" i="8"/>
  <c r="F24" i="8"/>
  <c r="J14" i="8"/>
  <c r="S16" i="24" l="1"/>
  <c r="M32" i="24"/>
  <c r="L32" i="24"/>
  <c r="K32" i="24"/>
  <c r="N31" i="24"/>
  <c r="N30" i="24"/>
  <c r="N29" i="24"/>
  <c r="N28" i="24"/>
  <c r="N27" i="24"/>
  <c r="N26" i="24"/>
  <c r="N25" i="24"/>
  <c r="N24" i="24"/>
  <c r="N23" i="24"/>
  <c r="N15" i="24"/>
  <c r="N14" i="24"/>
  <c r="N13" i="24"/>
  <c r="N12" i="24"/>
  <c r="N11" i="24"/>
  <c r="N10" i="24"/>
  <c r="N9" i="24"/>
  <c r="N8" i="24"/>
  <c r="N7" i="24"/>
  <c r="G32" i="24"/>
  <c r="F32" i="24"/>
  <c r="E32" i="24"/>
  <c r="D32" i="24"/>
  <c r="C32" i="24"/>
  <c r="B32" i="24"/>
  <c r="H31" i="24"/>
  <c r="H30" i="24"/>
  <c r="H29" i="24"/>
  <c r="H28" i="24"/>
  <c r="H27" i="24"/>
  <c r="H26" i="24"/>
  <c r="H25" i="24"/>
  <c r="H24" i="24"/>
  <c r="H23" i="24"/>
  <c r="G16" i="24"/>
  <c r="F16" i="24"/>
  <c r="E16" i="24"/>
  <c r="D16" i="24"/>
  <c r="C16" i="24"/>
  <c r="B16" i="24"/>
  <c r="H15" i="24"/>
  <c r="H14" i="24"/>
  <c r="H13" i="24"/>
  <c r="H12" i="24"/>
  <c r="H11" i="24"/>
  <c r="H10" i="24"/>
  <c r="H9" i="24"/>
  <c r="H8" i="24"/>
  <c r="H7" i="24"/>
  <c r="D17" i="24" l="1"/>
  <c r="D33" i="24"/>
  <c r="L17" i="24"/>
  <c r="J17" i="24"/>
  <c r="B17" i="24"/>
  <c r="B33" i="24"/>
  <c r="F33" i="24"/>
  <c r="F17" i="24"/>
  <c r="N17" i="24" l="1"/>
  <c r="H33" i="24"/>
  <c r="H17" i="24"/>
  <c r="W62" i="3" l="1"/>
  <c r="V62" i="3"/>
  <c r="U62" i="3" s="1"/>
  <c r="R62" i="3" l="1"/>
  <c r="P7" i="2" l="1"/>
  <c r="J128" i="5" l="1"/>
  <c r="J127" i="5"/>
  <c r="J126" i="5"/>
  <c r="E124" i="5"/>
  <c r="E123" i="5"/>
  <c r="E122" i="5"/>
  <c r="I105" i="5"/>
  <c r="I104" i="5"/>
  <c r="I103" i="5"/>
  <c r="J81" i="5"/>
  <c r="J80" i="5"/>
  <c r="J79" i="5"/>
  <c r="J60" i="5"/>
  <c r="J59" i="5"/>
  <c r="J58" i="5"/>
  <c r="E53" i="5"/>
  <c r="E51" i="5"/>
  <c r="E52" i="5"/>
  <c r="E5" i="5" l="1"/>
  <c r="R10" i="4"/>
  <c r="P10" i="4"/>
  <c r="O10" i="4"/>
  <c r="I9" i="5" l="1"/>
  <c r="I10" i="5"/>
  <c r="I11" i="5"/>
  <c r="E6" i="5"/>
  <c r="E4" i="5"/>
  <c r="AT15" i="2"/>
  <c r="AU15" i="2"/>
  <c r="AV15" i="2" s="1"/>
  <c r="AS14" i="2"/>
  <c r="AS16" i="2" s="1"/>
  <c r="AQ14" i="2"/>
  <c r="AQ16" i="2" s="1"/>
  <c r="AQ12" i="2"/>
  <c r="AU11" i="2"/>
  <c r="AT11" i="2" s="1"/>
  <c r="E6" i="2"/>
  <c r="F6" i="2"/>
  <c r="AR15" i="2" l="1"/>
  <c r="AR11" i="2"/>
  <c r="AV11" i="2"/>
  <c r="G121" i="22" l="1"/>
  <c r="H121" i="22"/>
  <c r="F121" i="22"/>
  <c r="D121" i="22"/>
  <c r="C121" i="22"/>
  <c r="B121" i="22"/>
  <c r="K120" i="22"/>
  <c r="J120" i="22"/>
  <c r="I120" i="22"/>
  <c r="K119" i="22"/>
  <c r="J119" i="22"/>
  <c r="I119" i="22"/>
  <c r="K118" i="22"/>
  <c r="J118" i="22"/>
  <c r="I118" i="22"/>
  <c r="J112" i="22"/>
  <c r="I112" i="22"/>
  <c r="H112" i="22"/>
  <c r="N112" i="22" s="1"/>
  <c r="G112" i="22"/>
  <c r="F112" i="22"/>
  <c r="K87" i="22"/>
  <c r="K88" i="22"/>
  <c r="K89" i="22"/>
  <c r="K90" i="22"/>
  <c r="K91" i="22"/>
  <c r="K92" i="22"/>
  <c r="K93" i="22"/>
  <c r="K94" i="22"/>
  <c r="K95" i="22"/>
  <c r="K86" i="22"/>
  <c r="J86" i="22"/>
  <c r="J87" i="22"/>
  <c r="J88" i="22"/>
  <c r="J89" i="22"/>
  <c r="J90" i="22"/>
  <c r="J91" i="22"/>
  <c r="J92" i="22"/>
  <c r="J93" i="22"/>
  <c r="J94" i="22"/>
  <c r="J95" i="22"/>
  <c r="I87" i="22"/>
  <c r="I88" i="22"/>
  <c r="I89" i="22"/>
  <c r="I90" i="22"/>
  <c r="I91" i="22"/>
  <c r="I92" i="22"/>
  <c r="I93" i="22"/>
  <c r="I94" i="22"/>
  <c r="I95" i="22"/>
  <c r="I86" i="22"/>
  <c r="G96" i="22"/>
  <c r="H96" i="22"/>
  <c r="F96" i="22"/>
  <c r="D96" i="22"/>
  <c r="C96" i="22"/>
  <c r="B96" i="22"/>
  <c r="C63" i="22"/>
  <c r="B63" i="22"/>
  <c r="D54" i="22"/>
  <c r="D55" i="22"/>
  <c r="D56" i="22"/>
  <c r="D57" i="22"/>
  <c r="D58" i="22"/>
  <c r="D59" i="22"/>
  <c r="D60" i="22"/>
  <c r="D61" i="22"/>
  <c r="D62" i="22"/>
  <c r="D53" i="22"/>
  <c r="C47" i="22"/>
  <c r="B47" i="22"/>
  <c r="D46" i="22"/>
  <c r="D45" i="22"/>
  <c r="D44" i="22"/>
  <c r="D43" i="22"/>
  <c r="D42" i="22"/>
  <c r="D41" i="22"/>
  <c r="D40" i="22"/>
  <c r="D39" i="22"/>
  <c r="D38" i="22"/>
  <c r="D37" i="22"/>
  <c r="C31" i="22"/>
  <c r="B31" i="22"/>
  <c r="D30" i="22"/>
  <c r="D29" i="22"/>
  <c r="D28" i="22"/>
  <c r="D27" i="22"/>
  <c r="D26" i="22"/>
  <c r="D25" i="22"/>
  <c r="D24" i="22"/>
  <c r="D23" i="22"/>
  <c r="D22" i="22"/>
  <c r="D21" i="22"/>
  <c r="I15" i="22"/>
  <c r="H15" i="22"/>
  <c r="G15" i="22"/>
  <c r="D6" i="22"/>
  <c r="D7" i="22"/>
  <c r="D8" i="22"/>
  <c r="D9" i="22"/>
  <c r="D10" i="22"/>
  <c r="D11" i="22"/>
  <c r="D12" i="22"/>
  <c r="D13" i="22"/>
  <c r="D14" i="22"/>
  <c r="D5" i="22"/>
  <c r="C15" i="22"/>
  <c r="B15" i="22"/>
  <c r="L112" i="22" l="1"/>
  <c r="M112" i="22"/>
  <c r="L91" i="22"/>
  <c r="L94" i="22"/>
  <c r="L93" i="22"/>
  <c r="I121" i="22"/>
  <c r="L118" i="22"/>
  <c r="L92" i="22"/>
  <c r="L119" i="22"/>
  <c r="L120" i="22"/>
  <c r="K121" i="22"/>
  <c r="L90" i="22"/>
  <c r="L89" i="22"/>
  <c r="J121" i="22"/>
  <c r="L86" i="22"/>
  <c r="L88" i="22"/>
  <c r="L95" i="22"/>
  <c r="L87" i="22"/>
  <c r="J15" i="22"/>
  <c r="J96" i="22"/>
  <c r="I96" i="22"/>
  <c r="K96" i="22"/>
  <c r="D31" i="22"/>
  <c r="D63" i="22"/>
  <c r="D47" i="22"/>
  <c r="D15" i="22"/>
  <c r="E46" i="21"/>
  <c r="F46" i="21"/>
  <c r="F72" i="21" s="1"/>
  <c r="D46" i="21"/>
  <c r="D72" i="21" s="1"/>
  <c r="F6" i="21"/>
  <c r="F7" i="21"/>
  <c r="F5" i="21"/>
  <c r="C29" i="20"/>
  <c r="B29" i="20"/>
  <c r="D28" i="20"/>
  <c r="D27" i="20"/>
  <c r="D26" i="20"/>
  <c r="D25" i="20"/>
  <c r="D24" i="20"/>
  <c r="D23" i="20"/>
  <c r="D22" i="20"/>
  <c r="D21" i="20"/>
  <c r="D20" i="20"/>
  <c r="D19" i="20"/>
  <c r="H15" i="20"/>
  <c r="I15" i="20"/>
  <c r="G15" i="20"/>
  <c r="D5" i="20"/>
  <c r="D6" i="20"/>
  <c r="D7" i="20"/>
  <c r="D8" i="20"/>
  <c r="D9" i="20"/>
  <c r="D10" i="20"/>
  <c r="D11" i="20"/>
  <c r="D12" i="20"/>
  <c r="D13" i="20"/>
  <c r="D14" i="20"/>
  <c r="C15" i="20"/>
  <c r="B15" i="20"/>
  <c r="C159" i="18"/>
  <c r="B159" i="18"/>
  <c r="D158" i="18"/>
  <c r="D157" i="18"/>
  <c r="D156" i="18"/>
  <c r="D155" i="18"/>
  <c r="D154" i="18"/>
  <c r="C107" i="18"/>
  <c r="B107" i="18"/>
  <c r="D106" i="18"/>
  <c r="D105" i="18"/>
  <c r="D104" i="18"/>
  <c r="D103" i="18"/>
  <c r="D102" i="18"/>
  <c r="I55" i="18"/>
  <c r="J55" i="18"/>
  <c r="H55" i="18"/>
  <c r="D46" i="18"/>
  <c r="B51" i="18"/>
  <c r="C51" i="18"/>
  <c r="D47" i="18"/>
  <c r="D48" i="18"/>
  <c r="D49" i="18"/>
  <c r="D50" i="18"/>
  <c r="D146" i="18"/>
  <c r="C146" i="18"/>
  <c r="E145" i="18"/>
  <c r="E144" i="18"/>
  <c r="D143" i="18"/>
  <c r="C143" i="18"/>
  <c r="E142" i="18"/>
  <c r="E141" i="18"/>
  <c r="D94" i="18"/>
  <c r="C94" i="18"/>
  <c r="E93" i="18"/>
  <c r="E92" i="18"/>
  <c r="D91" i="18"/>
  <c r="C91" i="18"/>
  <c r="E90" i="18"/>
  <c r="E89" i="18"/>
  <c r="D41" i="18"/>
  <c r="C41" i="18"/>
  <c r="E40" i="18"/>
  <c r="E39" i="18"/>
  <c r="D38" i="18"/>
  <c r="C38" i="18"/>
  <c r="E37" i="18"/>
  <c r="E36" i="18"/>
  <c r="I14" i="18"/>
  <c r="J14" i="18"/>
  <c r="H14" i="18"/>
  <c r="K55" i="18" l="1"/>
  <c r="C42" i="18"/>
  <c r="E72" i="21"/>
  <c r="G46" i="21"/>
  <c r="G57" i="21"/>
  <c r="G52" i="21"/>
  <c r="F8" i="21"/>
  <c r="F33" i="21" s="1"/>
  <c r="J15" i="20"/>
  <c r="D29" i="20"/>
  <c r="D15" i="20"/>
  <c r="L121" i="22"/>
  <c r="O112" i="22"/>
  <c r="L96" i="22"/>
  <c r="D95" i="18"/>
  <c r="K14" i="18"/>
  <c r="D42" i="18"/>
  <c r="D51" i="18"/>
  <c r="D159" i="18"/>
  <c r="D107" i="18"/>
  <c r="C95" i="18"/>
  <c r="E38" i="18"/>
  <c r="D147" i="18"/>
  <c r="E146" i="18"/>
  <c r="E143" i="18"/>
  <c r="E94" i="18"/>
  <c r="E41" i="18"/>
  <c r="E91" i="18"/>
  <c r="C147" i="18"/>
  <c r="E5" i="18"/>
  <c r="E4" i="18"/>
  <c r="D6" i="18"/>
  <c r="C6" i="18"/>
  <c r="E7" i="18"/>
  <c r="E8" i="18"/>
  <c r="D9" i="18"/>
  <c r="C9" i="18"/>
  <c r="G72" i="21" l="1"/>
  <c r="E95" i="18"/>
  <c r="D10" i="18"/>
  <c r="E42" i="18"/>
  <c r="E6" i="18"/>
  <c r="C10" i="18"/>
  <c r="E9" i="18"/>
  <c r="E147" i="18"/>
  <c r="R68" i="17"/>
  <c r="Q41" i="17"/>
  <c r="S52" i="17"/>
  <c r="S51" i="17"/>
  <c r="S50" i="17"/>
  <c r="S48" i="17"/>
  <c r="S47" i="17"/>
  <c r="S49" i="17"/>
  <c r="S40" i="17"/>
  <c r="S38" i="17"/>
  <c r="S36" i="17"/>
  <c r="S35" i="17"/>
  <c r="S34" i="17"/>
  <c r="S37" i="17"/>
  <c r="S11" i="17"/>
  <c r="R11" i="17"/>
  <c r="S10" i="17"/>
  <c r="R10" i="17"/>
  <c r="S9" i="17"/>
  <c r="R9" i="17"/>
  <c r="T8" i="17"/>
  <c r="T7" i="17"/>
  <c r="S6" i="17"/>
  <c r="R6" i="17"/>
  <c r="T5" i="17"/>
  <c r="T4" i="17"/>
  <c r="E34" i="17"/>
  <c r="E35" i="17"/>
  <c r="E36" i="17"/>
  <c r="E37" i="17"/>
  <c r="E38" i="17"/>
  <c r="E39" i="17"/>
  <c r="E33" i="17"/>
  <c r="D40" i="17"/>
  <c r="C40" i="17"/>
  <c r="D11" i="17"/>
  <c r="E11" i="17"/>
  <c r="E10" i="17"/>
  <c r="D10" i="17"/>
  <c r="E9" i="17"/>
  <c r="D9" i="17"/>
  <c r="E6" i="17"/>
  <c r="D6" i="17"/>
  <c r="F5" i="17"/>
  <c r="F7" i="17"/>
  <c r="F8" i="17"/>
  <c r="F4" i="17"/>
  <c r="S54" i="17" l="1"/>
  <c r="Q68" i="17"/>
  <c r="S67" i="17"/>
  <c r="S68" i="17" s="1"/>
  <c r="T9" i="17"/>
  <c r="E10" i="18"/>
  <c r="T6" i="17"/>
  <c r="E54" i="17"/>
  <c r="R41" i="17"/>
  <c r="S12" i="17"/>
  <c r="R12" i="17"/>
  <c r="S41" i="17"/>
  <c r="T11" i="17"/>
  <c r="T10" i="17"/>
  <c r="F11" i="17"/>
  <c r="E40" i="17"/>
  <c r="D12" i="17"/>
  <c r="E12" i="17"/>
  <c r="F10" i="17"/>
  <c r="F9" i="17"/>
  <c r="F6" i="17"/>
  <c r="H15" i="16"/>
  <c r="E15" i="16"/>
  <c r="F15" i="16"/>
  <c r="D15" i="16"/>
  <c r="J31" i="16"/>
  <c r="H31" i="16"/>
  <c r="G31" i="16"/>
  <c r="I30" i="16"/>
  <c r="I29" i="16"/>
  <c r="F31" i="16"/>
  <c r="D31" i="16"/>
  <c r="C31" i="16"/>
  <c r="E30" i="16"/>
  <c r="E29" i="16"/>
  <c r="G15" i="16" l="1"/>
  <c r="T12" i="17"/>
  <c r="E31" i="16"/>
  <c r="F12" i="17"/>
  <c r="I31" i="16"/>
  <c r="F47" i="15" l="1"/>
  <c r="F48" i="15"/>
  <c r="F49" i="15"/>
  <c r="F50" i="15"/>
  <c r="F51" i="15"/>
  <c r="F52" i="15"/>
  <c r="F53" i="15"/>
  <c r="F54" i="15"/>
  <c r="F46" i="15"/>
  <c r="E55" i="15"/>
  <c r="C55" i="15"/>
  <c r="D55" i="15"/>
  <c r="F55" i="15" l="1"/>
  <c r="D41" i="15"/>
  <c r="C41" i="15"/>
  <c r="E40" i="15"/>
  <c r="E39" i="15"/>
  <c r="E38" i="15"/>
  <c r="E37" i="15"/>
  <c r="E36" i="15"/>
  <c r="E35" i="15"/>
  <c r="E34" i="15"/>
  <c r="E33" i="15"/>
  <c r="E32" i="15"/>
  <c r="D26" i="15"/>
  <c r="C26" i="15"/>
  <c r="E25" i="15"/>
  <c r="E24" i="15"/>
  <c r="E23" i="15"/>
  <c r="E41" i="15" l="1"/>
  <c r="E26" i="15"/>
  <c r="D15" i="15"/>
  <c r="E12" i="15"/>
  <c r="E13" i="15"/>
  <c r="E11" i="15"/>
  <c r="H43" i="14"/>
  <c r="G43" i="14"/>
  <c r="F43" i="14"/>
  <c r="E43" i="14"/>
  <c r="D43" i="14"/>
  <c r="C43" i="14"/>
  <c r="I43" i="14" s="1"/>
  <c r="I40" i="14"/>
  <c r="J40" i="14"/>
  <c r="K40" i="14"/>
  <c r="I41" i="14"/>
  <c r="J41" i="14"/>
  <c r="K41" i="14"/>
  <c r="I42" i="14"/>
  <c r="J42" i="14"/>
  <c r="K42" i="14"/>
  <c r="K39" i="14"/>
  <c r="J39" i="14"/>
  <c r="I39" i="14"/>
  <c r="E30" i="14"/>
  <c r="E31" i="14"/>
  <c r="E32" i="14"/>
  <c r="E29" i="14"/>
  <c r="D33" i="14"/>
  <c r="C33" i="14"/>
  <c r="E33" i="14" l="1"/>
  <c r="J43" i="14"/>
  <c r="K43" i="14"/>
  <c r="E15" i="15"/>
  <c r="E6" i="14"/>
  <c r="E7" i="14"/>
  <c r="E8" i="14"/>
  <c r="E9" i="14"/>
  <c r="E10" i="14"/>
  <c r="E11" i="14"/>
  <c r="E12" i="14"/>
  <c r="E13" i="14"/>
  <c r="E14" i="14"/>
  <c r="E15" i="14"/>
  <c r="E16" i="14"/>
  <c r="D17" i="14"/>
  <c r="C17" i="14"/>
  <c r="F5" i="12"/>
  <c r="F6" i="12"/>
  <c r="F8" i="12"/>
  <c r="F9" i="12"/>
  <c r="F10" i="12"/>
  <c r="F4" i="12"/>
  <c r="E7" i="12"/>
  <c r="E11" i="12"/>
  <c r="D11" i="12"/>
  <c r="D7" i="12"/>
  <c r="E19" i="11"/>
  <c r="H19" i="11" s="1"/>
  <c r="D19" i="11"/>
  <c r="E16" i="11"/>
  <c r="H16" i="11" s="1"/>
  <c r="D16" i="11"/>
  <c r="E13" i="11"/>
  <c r="H13" i="11" s="1"/>
  <c r="D13" i="11"/>
  <c r="E10" i="11"/>
  <c r="H10" i="11" s="1"/>
  <c r="D10" i="11"/>
  <c r="F7" i="12" l="1"/>
  <c r="I10" i="11"/>
  <c r="I19" i="11"/>
  <c r="I13" i="11"/>
  <c r="I16" i="11"/>
  <c r="E17" i="14"/>
  <c r="F11" i="12"/>
  <c r="E12" i="12"/>
  <c r="D12" i="12"/>
  <c r="E7" i="11"/>
  <c r="H7" i="11" s="1"/>
  <c r="D7" i="11"/>
  <c r="I86" i="10"/>
  <c r="J86" i="10"/>
  <c r="J98" i="10"/>
  <c r="I98" i="10"/>
  <c r="J83" i="10"/>
  <c r="I83" i="10"/>
  <c r="J80" i="10"/>
  <c r="I80" i="10"/>
  <c r="J77" i="10"/>
  <c r="I77" i="10"/>
  <c r="J71" i="10"/>
  <c r="I71" i="10"/>
  <c r="L64" i="10"/>
  <c r="J64" i="10"/>
  <c r="L52" i="10"/>
  <c r="J52" i="10"/>
  <c r="L49" i="10"/>
  <c r="J49" i="10"/>
  <c r="L46" i="10"/>
  <c r="J46" i="10"/>
  <c r="L43" i="10"/>
  <c r="J43" i="10"/>
  <c r="L40" i="10"/>
  <c r="J40" i="10"/>
  <c r="L33" i="10"/>
  <c r="J33" i="10"/>
  <c r="M32" i="10"/>
  <c r="M31" i="10"/>
  <c r="M30" i="10"/>
  <c r="M29" i="10"/>
  <c r="M28" i="10"/>
  <c r="M27" i="10"/>
  <c r="M26" i="10"/>
  <c r="M25" i="10"/>
  <c r="M20" i="10"/>
  <c r="M19" i="10"/>
  <c r="M17" i="10"/>
  <c r="M16" i="10"/>
  <c r="M14" i="10"/>
  <c r="M13" i="10"/>
  <c r="M11" i="10"/>
  <c r="M10" i="10"/>
  <c r="M8" i="10"/>
  <c r="M7" i="10"/>
  <c r="L6" i="10"/>
  <c r="L22" i="10" s="1"/>
  <c r="J6" i="10"/>
  <c r="J22" i="10" s="1"/>
  <c r="M5" i="10"/>
  <c r="M4" i="10"/>
  <c r="D98" i="10"/>
  <c r="C98" i="10"/>
  <c r="D80" i="10"/>
  <c r="C80" i="10"/>
  <c r="D77" i="10"/>
  <c r="C77" i="10"/>
  <c r="D74" i="10"/>
  <c r="E74" i="10" s="1"/>
  <c r="D71" i="10"/>
  <c r="C71" i="10"/>
  <c r="E64" i="10"/>
  <c r="F64" i="10" s="1"/>
  <c r="E43" i="10"/>
  <c r="F43" i="10" s="1"/>
  <c r="E40" i="10"/>
  <c r="F40" i="10" s="1"/>
  <c r="D40" i="10"/>
  <c r="D33" i="10"/>
  <c r="E33" i="10"/>
  <c r="F33" i="10" s="1"/>
  <c r="E15" i="10"/>
  <c r="F15" i="10" s="1"/>
  <c r="D15" i="10"/>
  <c r="E12" i="10"/>
  <c r="F12" i="10" s="1"/>
  <c r="D12" i="10"/>
  <c r="E9" i="10"/>
  <c r="F9" i="10" s="1"/>
  <c r="D9" i="10"/>
  <c r="D6" i="10"/>
  <c r="E6" i="10"/>
  <c r="F6" i="10" s="1"/>
  <c r="K47" i="8"/>
  <c r="K46" i="8"/>
  <c r="J45" i="8"/>
  <c r="I45" i="8"/>
  <c r="H45" i="8"/>
  <c r="H49" i="8" s="1"/>
  <c r="K44" i="8"/>
  <c r="E18" i="8"/>
  <c r="D18" i="8"/>
  <c r="C18" i="8"/>
  <c r="F17" i="8"/>
  <c r="F16" i="8"/>
  <c r="E15" i="8"/>
  <c r="D15" i="8"/>
  <c r="C15" i="8"/>
  <c r="F14" i="8"/>
  <c r="F13" i="8"/>
  <c r="J36" i="8"/>
  <c r="I36" i="8"/>
  <c r="H36" i="8"/>
  <c r="I33" i="8"/>
  <c r="J33" i="8"/>
  <c r="H33" i="8"/>
  <c r="K32" i="8"/>
  <c r="K34" i="8"/>
  <c r="K35" i="8"/>
  <c r="K31" i="8"/>
  <c r="C45" i="8"/>
  <c r="B45" i="8"/>
  <c r="D44" i="8"/>
  <c r="D43" i="8"/>
  <c r="B33" i="8"/>
  <c r="C33" i="8"/>
  <c r="D32" i="8"/>
  <c r="D31" i="8"/>
  <c r="F12" i="12" l="1"/>
  <c r="D19" i="8"/>
  <c r="E20" i="11"/>
  <c r="H20" i="11" s="1"/>
  <c r="I7" i="11"/>
  <c r="D20" i="11"/>
  <c r="M22" i="10"/>
  <c r="K86" i="10"/>
  <c r="K71" i="10"/>
  <c r="K83" i="10"/>
  <c r="E80" i="10"/>
  <c r="K77" i="10"/>
  <c r="E71" i="10"/>
  <c r="K80" i="10"/>
  <c r="E77" i="10"/>
  <c r="K98" i="10"/>
  <c r="E98" i="10"/>
  <c r="L53" i="10"/>
  <c r="J87" i="10"/>
  <c r="I87" i="10"/>
  <c r="J53" i="10"/>
  <c r="C19" i="8"/>
  <c r="I49" i="8"/>
  <c r="H37" i="8"/>
  <c r="E19" i="8"/>
  <c r="F15" i="8"/>
  <c r="J37" i="8"/>
  <c r="J49" i="8"/>
  <c r="K45" i="8"/>
  <c r="I37" i="8"/>
  <c r="M64" i="10"/>
  <c r="M40" i="10"/>
  <c r="M46" i="10"/>
  <c r="M52" i="10"/>
  <c r="M43" i="10"/>
  <c r="M49" i="10"/>
  <c r="D81" i="10"/>
  <c r="D44" i="10"/>
  <c r="E44" i="10"/>
  <c r="F44" i="10" s="1"/>
  <c r="M21" i="10"/>
  <c r="M9" i="10"/>
  <c r="M15" i="10"/>
  <c r="M33" i="10"/>
  <c r="M12" i="10"/>
  <c r="M6" i="10"/>
  <c r="M18" i="10"/>
  <c r="C81" i="10"/>
  <c r="D16" i="10"/>
  <c r="E16" i="10"/>
  <c r="F16" i="10" s="1"/>
  <c r="D45" i="8"/>
  <c r="K48" i="8"/>
  <c r="K36" i="8"/>
  <c r="F18" i="8"/>
  <c r="K33" i="8"/>
  <c r="D33" i="8"/>
  <c r="D6" i="8"/>
  <c r="C7" i="8"/>
  <c r="B7" i="8"/>
  <c r="D5" i="8"/>
  <c r="I20" i="11" l="1"/>
  <c r="K49" i="8"/>
  <c r="E81" i="10"/>
  <c r="K87" i="10"/>
  <c r="M53" i="10"/>
  <c r="F19" i="8"/>
  <c r="K37" i="8"/>
  <c r="D7" i="8"/>
  <c r="I75" i="7" l="1"/>
  <c r="C95" i="7" s="1"/>
  <c r="H75" i="7"/>
  <c r="C94" i="7" s="1"/>
  <c r="G75" i="7"/>
  <c r="C93" i="7" s="1"/>
  <c r="E75" i="7"/>
  <c r="B95" i="7" s="1"/>
  <c r="D75" i="7"/>
  <c r="B94" i="7" s="1"/>
  <c r="C75" i="7"/>
  <c r="B93" i="7" s="1"/>
  <c r="D71" i="7"/>
  <c r="E71" i="7"/>
  <c r="G71" i="7"/>
  <c r="C96" i="7" s="1"/>
  <c r="H71" i="7"/>
  <c r="I71" i="7"/>
  <c r="C71" i="7"/>
  <c r="B96" i="7" s="1"/>
  <c r="J74" i="7"/>
  <c r="F74" i="7"/>
  <c r="J73" i="7"/>
  <c r="F73" i="7"/>
  <c r="J72" i="7"/>
  <c r="F72" i="7"/>
  <c r="J70" i="7"/>
  <c r="F70" i="7"/>
  <c r="J69" i="7"/>
  <c r="F69" i="7"/>
  <c r="J68" i="7"/>
  <c r="F68" i="7"/>
  <c r="D93" i="7" l="1"/>
  <c r="D94" i="7"/>
  <c r="D95" i="7"/>
  <c r="D96" i="7"/>
  <c r="J71" i="7"/>
  <c r="E76" i="7"/>
  <c r="G76" i="7"/>
  <c r="I76" i="7"/>
  <c r="D76" i="7"/>
  <c r="F75" i="7"/>
  <c r="K74" i="7"/>
  <c r="K73" i="7"/>
  <c r="K72" i="7"/>
  <c r="C76" i="7"/>
  <c r="H76" i="7"/>
  <c r="J75" i="7"/>
  <c r="K70" i="7"/>
  <c r="F71" i="7"/>
  <c r="K68" i="7"/>
  <c r="K69" i="7"/>
  <c r="J76" i="7" l="1"/>
  <c r="F76" i="7"/>
  <c r="K75" i="7"/>
  <c r="K71" i="7"/>
  <c r="G45" i="7"/>
  <c r="G44" i="7"/>
  <c r="G43" i="7"/>
  <c r="G42" i="7"/>
  <c r="G41" i="7"/>
  <c r="G40" i="7"/>
  <c r="G39" i="7"/>
  <c r="G38" i="7"/>
  <c r="G37" i="7"/>
  <c r="D38" i="7"/>
  <c r="D39" i="7"/>
  <c r="D40" i="7"/>
  <c r="D41" i="7"/>
  <c r="D42" i="7"/>
  <c r="D43" i="7"/>
  <c r="D44" i="7"/>
  <c r="D45" i="7"/>
  <c r="D37" i="7"/>
  <c r="C46" i="7"/>
  <c r="C51" i="7" s="1"/>
  <c r="E46" i="7"/>
  <c r="D50" i="7" s="1"/>
  <c r="F46" i="7"/>
  <c r="D51" i="7" s="1"/>
  <c r="B46" i="7"/>
  <c r="C50" i="7" s="1"/>
  <c r="I14" i="7"/>
  <c r="I13" i="7"/>
  <c r="I12" i="7"/>
  <c r="I10" i="7"/>
  <c r="I9" i="7"/>
  <c r="I6" i="7"/>
  <c r="I5" i="7"/>
  <c r="F15" i="7"/>
  <c r="G15" i="7"/>
  <c r="H15" i="7"/>
  <c r="B15" i="7"/>
  <c r="C15" i="7"/>
  <c r="D15" i="7"/>
  <c r="E5" i="7"/>
  <c r="E6" i="7"/>
  <c r="E9" i="7"/>
  <c r="E10" i="7"/>
  <c r="E12" i="7"/>
  <c r="E13" i="7"/>
  <c r="E14" i="7"/>
  <c r="J12" i="7" l="1"/>
  <c r="H41" i="7"/>
  <c r="H37" i="7"/>
  <c r="H42" i="7"/>
  <c r="K76" i="7"/>
  <c r="J14" i="7"/>
  <c r="H45" i="7"/>
  <c r="H44" i="7"/>
  <c r="G46" i="7"/>
  <c r="H43" i="7"/>
  <c r="H40" i="7"/>
  <c r="H39" i="7"/>
  <c r="H38" i="7"/>
  <c r="D46" i="7"/>
  <c r="J5" i="7"/>
  <c r="J6" i="7"/>
  <c r="J9" i="7"/>
  <c r="J10" i="7"/>
  <c r="J13" i="7"/>
  <c r="I15" i="7"/>
  <c r="E15" i="7"/>
  <c r="D45" i="6"/>
  <c r="C45" i="6"/>
  <c r="D43" i="6"/>
  <c r="C43" i="6"/>
  <c r="C41" i="6"/>
  <c r="D41" i="6"/>
  <c r="E44" i="6"/>
  <c r="H51" i="6" s="1"/>
  <c r="E42" i="6"/>
  <c r="H50" i="6" s="1"/>
  <c r="E39" i="6"/>
  <c r="E40" i="6"/>
  <c r="I52" i="6" s="1"/>
  <c r="E38" i="6"/>
  <c r="H49" i="6" l="1"/>
  <c r="I49" i="6"/>
  <c r="I53" i="6"/>
  <c r="H53" i="6"/>
  <c r="J15" i="7"/>
  <c r="I51" i="6"/>
  <c r="B51" i="6"/>
  <c r="E45" i="6"/>
  <c r="B50" i="6"/>
  <c r="H52" i="6"/>
  <c r="B52" i="6"/>
  <c r="H46" i="7"/>
  <c r="I50" i="6"/>
  <c r="E41" i="6"/>
  <c r="E43" i="6"/>
  <c r="C46" i="6"/>
  <c r="D46" i="6"/>
  <c r="E46" i="6" l="1"/>
  <c r="I12" i="6" l="1"/>
  <c r="I13" i="6" s="1"/>
  <c r="E76" i="5"/>
  <c r="E75" i="5"/>
  <c r="E74" i="5"/>
  <c r="E100" i="5"/>
  <c r="E99" i="5"/>
  <c r="E98" i="5"/>
  <c r="O38" i="4" l="1"/>
  <c r="O39" i="4"/>
  <c r="O40" i="4"/>
  <c r="O41" i="4"/>
  <c r="O44" i="4"/>
  <c r="O43" i="4"/>
  <c r="N38" i="4"/>
  <c r="N39" i="4"/>
  <c r="N40" i="4"/>
  <c r="N41" i="4"/>
  <c r="N44" i="4"/>
  <c r="N43" i="4"/>
  <c r="S22" i="4"/>
  <c r="R22" i="4"/>
  <c r="P22" i="4"/>
  <c r="O22" i="4"/>
  <c r="S18" i="4"/>
  <c r="R18" i="4"/>
  <c r="P18" i="4"/>
  <c r="O18" i="4"/>
  <c r="S15" i="4"/>
  <c r="R15" i="4"/>
  <c r="O42" i="4" s="1"/>
  <c r="P15" i="4"/>
  <c r="O15" i="4"/>
  <c r="N42" i="4" s="1"/>
  <c r="U12" i="4"/>
  <c r="T12" i="4" s="1"/>
  <c r="V12" i="4"/>
  <c r="U13" i="4"/>
  <c r="T13" i="4" s="1"/>
  <c r="V13" i="4"/>
  <c r="U14" i="4"/>
  <c r="T14" i="4" s="1"/>
  <c r="V14" i="4"/>
  <c r="U16" i="4"/>
  <c r="T16" i="4" s="1"/>
  <c r="V16" i="4"/>
  <c r="U17" i="4"/>
  <c r="Q17" i="4" s="1"/>
  <c r="V17" i="4"/>
  <c r="U19" i="4"/>
  <c r="T19" i="4" s="1"/>
  <c r="V19" i="4"/>
  <c r="U20" i="4"/>
  <c r="T20" i="4" s="1"/>
  <c r="V20" i="4"/>
  <c r="U21" i="4"/>
  <c r="T21" i="4" s="1"/>
  <c r="V21" i="4"/>
  <c r="S10" i="4"/>
  <c r="U6" i="4"/>
  <c r="T6" i="4" s="1"/>
  <c r="V6" i="4"/>
  <c r="U7" i="4"/>
  <c r="T7" i="4" s="1"/>
  <c r="V7" i="4"/>
  <c r="U8" i="4"/>
  <c r="T8" i="4" s="1"/>
  <c r="V8" i="4"/>
  <c r="U9" i="4"/>
  <c r="T9" i="4" s="1"/>
  <c r="V9" i="4"/>
  <c r="U11" i="4"/>
  <c r="T11" i="4" s="1"/>
  <c r="V11" i="4"/>
  <c r="V5" i="4"/>
  <c r="U5" i="4"/>
  <c r="Q5" i="4" s="1"/>
  <c r="J36" i="3"/>
  <c r="H36" i="3"/>
  <c r="J34" i="3"/>
  <c r="K34" i="3" s="1"/>
  <c r="H34" i="3"/>
  <c r="F9" i="3"/>
  <c r="H6" i="3" s="1"/>
  <c r="C9" i="3"/>
  <c r="K36" i="3" l="1"/>
  <c r="Q12" i="4"/>
  <c r="O45" i="4"/>
  <c r="N45" i="4"/>
  <c r="I34" i="3"/>
  <c r="U10" i="4"/>
  <c r="T10" i="4" s="1"/>
  <c r="O23" i="4"/>
  <c r="V15" i="4"/>
  <c r="V22" i="4"/>
  <c r="P41" i="4"/>
  <c r="P23" i="4"/>
  <c r="P40" i="4"/>
  <c r="R23" i="4"/>
  <c r="P38" i="4"/>
  <c r="U18" i="4"/>
  <c r="T18" i="4" s="1"/>
  <c r="P39" i="4"/>
  <c r="V18" i="4"/>
  <c r="S23" i="4"/>
  <c r="P43" i="4"/>
  <c r="P44" i="4"/>
  <c r="U22" i="4"/>
  <c r="T22" i="4" s="1"/>
  <c r="U15" i="4"/>
  <c r="T17" i="4"/>
  <c r="T5" i="4"/>
  <c r="Q7" i="4"/>
  <c r="Q6" i="4"/>
  <c r="Q16" i="4"/>
  <c r="Q14" i="4"/>
  <c r="Q21" i="4"/>
  <c r="Q13" i="4"/>
  <c r="Q9" i="4"/>
  <c r="Q20" i="4"/>
  <c r="Q11" i="4"/>
  <c r="Q8" i="4"/>
  <c r="Q19" i="4"/>
  <c r="V10" i="4"/>
  <c r="H8" i="3"/>
  <c r="B46" i="4"/>
  <c r="C38" i="4" s="1"/>
  <c r="G17" i="4"/>
  <c r="F17" i="4"/>
  <c r="D17" i="4"/>
  <c r="C17" i="4"/>
  <c r="G12" i="4"/>
  <c r="F12" i="4"/>
  <c r="D12" i="4"/>
  <c r="C12" i="4"/>
  <c r="G7" i="4"/>
  <c r="F7" i="4"/>
  <c r="D7" i="4"/>
  <c r="C7" i="4"/>
  <c r="J8" i="4"/>
  <c r="J9" i="4"/>
  <c r="J10" i="4"/>
  <c r="J11" i="4"/>
  <c r="J13" i="4"/>
  <c r="J14" i="4"/>
  <c r="J15" i="4"/>
  <c r="J16" i="4"/>
  <c r="I8" i="4"/>
  <c r="E8" i="4" s="1"/>
  <c r="I9" i="4"/>
  <c r="E9" i="4" s="1"/>
  <c r="I10" i="4"/>
  <c r="H10" i="4" s="1"/>
  <c r="I11" i="4"/>
  <c r="E11" i="4" s="1"/>
  <c r="I13" i="4"/>
  <c r="E13" i="4" s="1"/>
  <c r="I14" i="4"/>
  <c r="E14" i="4" s="1"/>
  <c r="I15" i="4"/>
  <c r="E15" i="4" s="1"/>
  <c r="I16" i="4"/>
  <c r="E16" i="4" s="1"/>
  <c r="I6" i="4"/>
  <c r="E6" i="4" s="1"/>
  <c r="J6" i="4"/>
  <c r="J5" i="4"/>
  <c r="I5" i="4"/>
  <c r="H5" i="4" s="1"/>
  <c r="Q10" i="4" l="1"/>
  <c r="U23" i="4"/>
  <c r="T23" i="4" s="1"/>
  <c r="I12" i="4"/>
  <c r="E12" i="4" s="1"/>
  <c r="G23" i="4" s="1"/>
  <c r="V23" i="4"/>
  <c r="Q18" i="4"/>
  <c r="C45" i="4"/>
  <c r="Q22" i="4"/>
  <c r="C37" i="4"/>
  <c r="C44" i="4"/>
  <c r="C41" i="4"/>
  <c r="T15" i="4"/>
  <c r="P42" i="4"/>
  <c r="P45" i="4" s="1"/>
  <c r="Q15" i="4"/>
  <c r="E5" i="4"/>
  <c r="H9" i="4"/>
  <c r="H6" i="4"/>
  <c r="C43" i="4"/>
  <c r="C42" i="4"/>
  <c r="C40" i="4"/>
  <c r="C39" i="4"/>
  <c r="C36" i="4"/>
  <c r="H14" i="4"/>
  <c r="G18" i="4"/>
  <c r="H16" i="4"/>
  <c r="H15" i="4"/>
  <c r="H13" i="4"/>
  <c r="F18" i="4"/>
  <c r="I17" i="4"/>
  <c r="J17" i="4"/>
  <c r="C18" i="4"/>
  <c r="D18" i="4"/>
  <c r="J12" i="4"/>
  <c r="E10" i="4"/>
  <c r="H11" i="4"/>
  <c r="H8" i="4"/>
  <c r="I7" i="4"/>
  <c r="J7" i="4"/>
  <c r="J18" i="4" l="1"/>
  <c r="H12" i="4"/>
  <c r="H23" i="4" s="1"/>
  <c r="B22" i="4"/>
  <c r="Q23" i="4"/>
  <c r="E7" i="4"/>
  <c r="G24" i="4" s="1"/>
  <c r="B21" i="4"/>
  <c r="H17" i="4"/>
  <c r="H22" i="4" s="1"/>
  <c r="B23" i="4"/>
  <c r="I18" i="4"/>
  <c r="H18" i="4" s="1"/>
  <c r="E17" i="4"/>
  <c r="G22" i="4" s="1"/>
  <c r="H7" i="4"/>
  <c r="H24" i="4" s="1"/>
  <c r="T81" i="3"/>
  <c r="G78" i="3" s="1"/>
  <c r="G80" i="3" s="1"/>
  <c r="S81" i="3"/>
  <c r="F78" i="3" s="1"/>
  <c r="F80" i="3" s="1"/>
  <c r="Q81" i="3"/>
  <c r="E78" i="3" s="1"/>
  <c r="P81" i="3"/>
  <c r="D78" i="3" s="1"/>
  <c r="T77" i="3"/>
  <c r="S77" i="3"/>
  <c r="Q77" i="3"/>
  <c r="P77" i="3"/>
  <c r="T75" i="3"/>
  <c r="S75" i="3"/>
  <c r="Q75" i="3"/>
  <c r="P75" i="3"/>
  <c r="T68" i="3"/>
  <c r="S68" i="3"/>
  <c r="Q68" i="3"/>
  <c r="P68" i="3"/>
  <c r="T66" i="3"/>
  <c r="S66" i="3"/>
  <c r="Q66" i="3"/>
  <c r="P66" i="3"/>
  <c r="T59" i="3"/>
  <c r="S59" i="3"/>
  <c r="Q59" i="3"/>
  <c r="P59" i="3"/>
  <c r="T57" i="3"/>
  <c r="S57" i="3"/>
  <c r="F81" i="3" s="1"/>
  <c r="F83" i="3" s="1"/>
  <c r="Q57" i="3"/>
  <c r="P57" i="3"/>
  <c r="D81" i="3" s="1"/>
  <c r="V53" i="3"/>
  <c r="W53" i="3"/>
  <c r="W72" i="3"/>
  <c r="V72" i="3"/>
  <c r="R72" i="3" s="1"/>
  <c r="T82" i="3"/>
  <c r="S82" i="3"/>
  <c r="Q82" i="3"/>
  <c r="P82" i="3"/>
  <c r="V80" i="3"/>
  <c r="R80" i="3" s="1"/>
  <c r="V52" i="3"/>
  <c r="R52" i="3" s="1"/>
  <c r="W52" i="3"/>
  <c r="V54" i="3"/>
  <c r="U54" i="3" s="1"/>
  <c r="W54" i="3"/>
  <c r="V56" i="3"/>
  <c r="R56" i="3" s="1"/>
  <c r="W56" i="3"/>
  <c r="W57" i="3" s="1"/>
  <c r="V58" i="3"/>
  <c r="R58" i="3" s="1"/>
  <c r="W58" i="3"/>
  <c r="W59" i="3" s="1"/>
  <c r="V61" i="3"/>
  <c r="W61" i="3"/>
  <c r="V63" i="3"/>
  <c r="W63" i="3"/>
  <c r="V65" i="3"/>
  <c r="U65" i="3" s="1"/>
  <c r="W65" i="3"/>
  <c r="W66" i="3" s="1"/>
  <c r="V67" i="3"/>
  <c r="V68" i="3" s="1"/>
  <c r="W67" i="3"/>
  <c r="W68" i="3" s="1"/>
  <c r="V70" i="3"/>
  <c r="W70" i="3"/>
  <c r="V71" i="3"/>
  <c r="U71" i="3" s="1"/>
  <c r="W71" i="3"/>
  <c r="V74" i="3"/>
  <c r="R74" i="3" s="1"/>
  <c r="W74" i="3"/>
  <c r="W75" i="3" s="1"/>
  <c r="V76" i="3"/>
  <c r="R76" i="3" s="1"/>
  <c r="W76" i="3"/>
  <c r="W77" i="3" s="1"/>
  <c r="V79" i="3"/>
  <c r="W79" i="3"/>
  <c r="W51" i="3"/>
  <c r="V51" i="3"/>
  <c r="E81" i="3" l="1"/>
  <c r="E83" i="3" s="1"/>
  <c r="G81" i="3"/>
  <c r="G83" i="3" s="1"/>
  <c r="G84" i="3"/>
  <c r="G86" i="3" s="1"/>
  <c r="H81" i="3"/>
  <c r="D83" i="3"/>
  <c r="H83" i="3" s="1"/>
  <c r="D84" i="3"/>
  <c r="D86" i="3" s="1"/>
  <c r="H86" i="3" s="1"/>
  <c r="E84" i="3"/>
  <c r="E86" i="3" s="1"/>
  <c r="F84" i="3"/>
  <c r="F86" i="3" s="1"/>
  <c r="F87" i="3" s="1"/>
  <c r="E80" i="3"/>
  <c r="I78" i="3"/>
  <c r="H78" i="3"/>
  <c r="D80" i="3"/>
  <c r="D17" i="3"/>
  <c r="Q69" i="3"/>
  <c r="Q78" i="3"/>
  <c r="V64" i="3"/>
  <c r="U64" i="3" s="1"/>
  <c r="S78" i="3"/>
  <c r="T69" i="3"/>
  <c r="T78" i="3"/>
  <c r="S69" i="3"/>
  <c r="W55" i="3"/>
  <c r="R70" i="3"/>
  <c r="V73" i="3"/>
  <c r="U73" i="3" s="1"/>
  <c r="W73" i="3"/>
  <c r="P69" i="3"/>
  <c r="P78" i="3"/>
  <c r="T60" i="3"/>
  <c r="W64" i="3"/>
  <c r="P60" i="3"/>
  <c r="S60" i="3"/>
  <c r="R51" i="3"/>
  <c r="V55" i="3"/>
  <c r="Q60" i="3"/>
  <c r="U79" i="3"/>
  <c r="R79" i="3"/>
  <c r="E18" i="4"/>
  <c r="Q45" i="4"/>
  <c r="Q38" i="4"/>
  <c r="Q41" i="4"/>
  <c r="Q40" i="4"/>
  <c r="Q44" i="4"/>
  <c r="Q39" i="4"/>
  <c r="Q43" i="4"/>
  <c r="Q42" i="4"/>
  <c r="B24" i="4"/>
  <c r="V59" i="3"/>
  <c r="W81" i="3"/>
  <c r="U63" i="3"/>
  <c r="R67" i="3"/>
  <c r="R63" i="3"/>
  <c r="U58" i="3"/>
  <c r="V66" i="3"/>
  <c r="R66" i="3" s="1"/>
  <c r="V57" i="3"/>
  <c r="R65" i="3"/>
  <c r="R68" i="3"/>
  <c r="U68" i="3"/>
  <c r="U67" i="3"/>
  <c r="V81" i="3"/>
  <c r="R81" i="3" s="1"/>
  <c r="V77" i="3"/>
  <c r="R77" i="3" s="1"/>
  <c r="V75" i="3"/>
  <c r="R75" i="3" s="1"/>
  <c r="U72" i="3"/>
  <c r="U80" i="3"/>
  <c r="R54" i="3"/>
  <c r="U56" i="3"/>
  <c r="U51" i="3"/>
  <c r="W82" i="3"/>
  <c r="V82" i="3"/>
  <c r="U76" i="3"/>
  <c r="U74" i="3"/>
  <c r="R71" i="3"/>
  <c r="U70" i="3"/>
  <c r="G87" i="3" l="1"/>
  <c r="I83" i="3"/>
  <c r="I81" i="3"/>
  <c r="I86" i="3"/>
  <c r="T83" i="3"/>
  <c r="I84" i="3"/>
  <c r="H84" i="3"/>
  <c r="H80" i="3"/>
  <c r="D87" i="3"/>
  <c r="H87" i="3" s="1"/>
  <c r="I80" i="3"/>
  <c r="E87" i="3"/>
  <c r="R64" i="3"/>
  <c r="R73" i="3"/>
  <c r="C16" i="3"/>
  <c r="Q83" i="3"/>
  <c r="V60" i="3"/>
  <c r="C32" i="3" s="1"/>
  <c r="U59" i="3"/>
  <c r="C14" i="3"/>
  <c r="R55" i="3"/>
  <c r="U57" i="3"/>
  <c r="C15" i="3"/>
  <c r="U82" i="3"/>
  <c r="C34" i="3"/>
  <c r="V78" i="3"/>
  <c r="U78" i="3" s="1"/>
  <c r="C23" i="4"/>
  <c r="C22" i="4"/>
  <c r="C21" i="4"/>
  <c r="U66" i="3"/>
  <c r="W69" i="3"/>
  <c r="W78" i="3"/>
  <c r="S83" i="3"/>
  <c r="R59" i="3"/>
  <c r="U55" i="3"/>
  <c r="R57" i="3"/>
  <c r="U81" i="3"/>
  <c r="U75" i="3"/>
  <c r="U77" i="3"/>
  <c r="V69" i="3"/>
  <c r="P83" i="3"/>
  <c r="W60" i="3"/>
  <c r="R82" i="3"/>
  <c r="J35" i="3"/>
  <c r="H35" i="3"/>
  <c r="I7" i="3"/>
  <c r="K18" i="8" s="1"/>
  <c r="I8" i="3"/>
  <c r="L18" i="8" s="1"/>
  <c r="I6" i="3"/>
  <c r="J18" i="8" s="1"/>
  <c r="AT23" i="2"/>
  <c r="AT22" i="2"/>
  <c r="AT26" i="2"/>
  <c r="AT25" i="2"/>
  <c r="AR27" i="2"/>
  <c r="AS27" i="2"/>
  <c r="AR24" i="2"/>
  <c r="AS24" i="2"/>
  <c r="AQ27" i="2"/>
  <c r="AQ24" i="2"/>
  <c r="AU14" i="2"/>
  <c r="AR14" i="2" s="1"/>
  <c r="AU13" i="2"/>
  <c r="AU10" i="2"/>
  <c r="AV10" i="2" s="1"/>
  <c r="AU9" i="2"/>
  <c r="AT9" i="2" s="1"/>
  <c r="AU8" i="2"/>
  <c r="AQ7" i="2"/>
  <c r="AS7" i="2"/>
  <c r="AU6" i="2"/>
  <c r="AU5" i="2"/>
  <c r="AH17" i="2"/>
  <c r="AG17" i="2"/>
  <c r="AH16" i="2"/>
  <c r="AG16" i="2"/>
  <c r="AG12" i="2"/>
  <c r="AH12" i="2"/>
  <c r="AG13" i="2"/>
  <c r="AH13" i="2"/>
  <c r="AG14" i="2"/>
  <c r="AH14" i="2"/>
  <c r="AH11" i="2"/>
  <c r="AG11" i="2"/>
  <c r="AH5" i="2"/>
  <c r="AH6" i="2"/>
  <c r="AH7" i="2"/>
  <c r="AH8" i="2"/>
  <c r="AH9" i="2"/>
  <c r="AG6" i="2"/>
  <c r="AG7" i="2"/>
  <c r="AG8" i="2"/>
  <c r="AG9" i="2"/>
  <c r="AG5" i="2"/>
  <c r="AD18" i="2"/>
  <c r="AE18" i="2"/>
  <c r="AF18" i="2"/>
  <c r="AC18" i="2"/>
  <c r="AD15" i="2"/>
  <c r="AE15" i="2"/>
  <c r="AF15" i="2"/>
  <c r="AC15" i="2"/>
  <c r="AD10" i="2"/>
  <c r="AE10" i="2"/>
  <c r="AF10" i="2"/>
  <c r="I87" i="3" l="1"/>
  <c r="C17" i="3"/>
  <c r="G8" i="3"/>
  <c r="G7" i="3"/>
  <c r="R60" i="3"/>
  <c r="U60" i="3"/>
  <c r="V83" i="3"/>
  <c r="U83" i="3" s="1"/>
  <c r="U69" i="3"/>
  <c r="C33" i="3"/>
  <c r="AR5" i="2"/>
  <c r="AT6" i="2"/>
  <c r="AV8" i="2"/>
  <c r="AU12" i="2"/>
  <c r="AR13" i="2"/>
  <c r="AU16" i="2"/>
  <c r="AV16" i="2" s="1"/>
  <c r="AT8" i="2"/>
  <c r="AR8" i="2"/>
  <c r="AV13" i="2"/>
  <c r="AT24" i="2"/>
  <c r="AR9" i="2"/>
  <c r="AV9" i="2"/>
  <c r="AQ17" i="2"/>
  <c r="AS17" i="2"/>
  <c r="AR6" i="2"/>
  <c r="AT5" i="2"/>
  <c r="AU7" i="2"/>
  <c r="AV5" i="2"/>
  <c r="G6" i="3"/>
  <c r="I9" i="3"/>
  <c r="H7" i="3"/>
  <c r="E9" i="3"/>
  <c r="W83" i="3"/>
  <c r="R78" i="3"/>
  <c r="R69" i="3"/>
  <c r="K35" i="3"/>
  <c r="E6" i="3"/>
  <c r="E8" i="3"/>
  <c r="E7" i="3"/>
  <c r="I35" i="3"/>
  <c r="H9" i="3"/>
  <c r="I36" i="3"/>
  <c r="D6" i="3"/>
  <c r="D8" i="3"/>
  <c r="D7" i="3"/>
  <c r="AT27" i="2"/>
  <c r="AS28" i="2"/>
  <c r="AR28" i="2"/>
  <c r="AQ28" i="2"/>
  <c r="AT14" i="2"/>
  <c r="AT13" i="2"/>
  <c r="AV14" i="2"/>
  <c r="AV6" i="2"/>
  <c r="AT10" i="2"/>
  <c r="AR10" i="2"/>
  <c r="AD19" i="2"/>
  <c r="AE19" i="2"/>
  <c r="AF19" i="2"/>
  <c r="AC19" i="2"/>
  <c r="AG15" i="2"/>
  <c r="AG10" i="2"/>
  <c r="AH10" i="2"/>
  <c r="AH18" i="2"/>
  <c r="AG18" i="2"/>
  <c r="AH15" i="2"/>
  <c r="AU17" i="2" l="1"/>
  <c r="AR17" i="2" s="1"/>
  <c r="AR16" i="2"/>
  <c r="AV7" i="2"/>
  <c r="AT16" i="2"/>
  <c r="AT28" i="2"/>
  <c r="AR7" i="2"/>
  <c r="AT7" i="2"/>
  <c r="R83" i="3"/>
  <c r="J7" i="3"/>
  <c r="G9" i="3"/>
  <c r="J9" i="3"/>
  <c r="D9" i="3"/>
  <c r="J8" i="3"/>
  <c r="J6" i="3"/>
  <c r="AV12" i="2"/>
  <c r="AT12" i="2"/>
  <c r="AR12" i="2"/>
  <c r="AG19" i="2"/>
  <c r="AH19" i="2"/>
  <c r="AT17" i="2" l="1"/>
  <c r="AV17" i="2"/>
  <c r="R7" i="2" l="1"/>
  <c r="R6" i="2"/>
  <c r="R5" i="2"/>
  <c r="P6" i="2"/>
  <c r="P5" i="2"/>
  <c r="P15" i="2" s="1"/>
  <c r="T7" i="2" l="1"/>
  <c r="T5" i="2"/>
  <c r="T6" i="2"/>
  <c r="P17" i="2"/>
  <c r="Q15" i="2"/>
  <c r="S15" i="2" s="1"/>
  <c r="P16" i="2"/>
  <c r="R8" i="2"/>
  <c r="S6" i="2" s="1"/>
  <c r="Q16" i="2"/>
  <c r="P8" i="2"/>
  <c r="Q7" i="2" s="1"/>
  <c r="Q17" i="2"/>
  <c r="D13" i="2"/>
  <c r="E13" i="2"/>
  <c r="F13" i="2"/>
  <c r="G13" i="2"/>
  <c r="H13" i="2"/>
  <c r="C13" i="2"/>
  <c r="D8" i="2"/>
  <c r="E8" i="2"/>
  <c r="F8" i="2"/>
  <c r="G8" i="2"/>
  <c r="H8" i="2"/>
  <c r="C8" i="2"/>
  <c r="J12" i="2"/>
  <c r="I12" i="2"/>
  <c r="J11" i="2"/>
  <c r="I11" i="2"/>
  <c r="J10" i="2"/>
  <c r="I10" i="2"/>
  <c r="J9" i="2"/>
  <c r="I9" i="2"/>
  <c r="J6" i="2"/>
  <c r="J7" i="2"/>
  <c r="I7" i="2"/>
  <c r="I6" i="2"/>
  <c r="S16" i="2" l="1"/>
  <c r="T8" i="2"/>
  <c r="U6" i="2" s="1"/>
  <c r="S5" i="2"/>
  <c r="K9" i="2"/>
  <c r="K10" i="2"/>
  <c r="S17" i="2"/>
  <c r="R15" i="2"/>
  <c r="S7" i="2"/>
  <c r="Q5" i="2"/>
  <c r="X6" i="2"/>
  <c r="S8" i="2"/>
  <c r="R16" i="2"/>
  <c r="Q6" i="2"/>
  <c r="R17" i="2"/>
  <c r="K7" i="2"/>
  <c r="Q8" i="2"/>
  <c r="W6" i="2"/>
  <c r="E14" i="2"/>
  <c r="I8" i="2"/>
  <c r="K12" i="2"/>
  <c r="K11" i="2"/>
  <c r="C14" i="2"/>
  <c r="I13" i="2"/>
  <c r="K6" i="2"/>
  <c r="B3" i="25" s="1"/>
  <c r="J13" i="2"/>
  <c r="G14" i="2"/>
  <c r="J8" i="2"/>
  <c r="X7" i="2" l="1"/>
  <c r="U7" i="2"/>
  <c r="U8" i="2"/>
  <c r="U5" i="2"/>
  <c r="K8" i="2"/>
  <c r="W7" i="2"/>
  <c r="I14" i="2"/>
  <c r="K13" i="2"/>
  <c r="J14" i="2"/>
  <c r="K14" i="2" l="1"/>
  <c r="L9" i="2" l="1"/>
  <c r="L8" i="2"/>
  <c r="L10" i="2"/>
  <c r="L14" i="2"/>
  <c r="L11" i="2"/>
  <c r="L7" i="2"/>
  <c r="L6" i="2"/>
  <c r="L12" i="2"/>
  <c r="L13" i="2"/>
</calcChain>
</file>

<file path=xl/sharedStrings.xml><?xml version="1.0" encoding="utf-8"?>
<sst xmlns="http://schemas.openxmlformats.org/spreadsheetml/2006/main" count="2737" uniqueCount="705">
  <si>
    <t>Plafond Etat</t>
  </si>
  <si>
    <t>Ressources propres</t>
  </si>
  <si>
    <t>Plafond d'emploi 2023</t>
  </si>
  <si>
    <t>Historique</t>
  </si>
  <si>
    <t>Enseignants</t>
  </si>
  <si>
    <t>BIATSS</t>
  </si>
  <si>
    <t>Titulaires</t>
  </si>
  <si>
    <t>CDI</t>
  </si>
  <si>
    <t>CDD</t>
  </si>
  <si>
    <t>Total</t>
  </si>
  <si>
    <t>Total général</t>
  </si>
  <si>
    <t>Taux de consomation du plafond d'emploi 2023</t>
  </si>
  <si>
    <t>Plafond d'emploi</t>
  </si>
  <si>
    <t>Taux consommation</t>
  </si>
  <si>
    <t>ACTIVITE</t>
  </si>
  <si>
    <t>affectation UJM</t>
  </si>
  <si>
    <t>Mise à disposition entrante</t>
  </si>
  <si>
    <t>Total ACTIVITE</t>
  </si>
  <si>
    <t>CLD</t>
  </si>
  <si>
    <t>Congé maternité</t>
  </si>
  <si>
    <t>Détachement sortant</t>
  </si>
  <si>
    <t>Disponibilité</t>
  </si>
  <si>
    <t>Total HORS ACTIVITE</t>
  </si>
  <si>
    <t>HORS ACTIVITE</t>
  </si>
  <si>
    <t>Femmes</t>
  </si>
  <si>
    <t>Hommes</t>
  </si>
  <si>
    <t>%</t>
  </si>
  <si>
    <t>2d degré</t>
  </si>
  <si>
    <t>Total enseignants</t>
  </si>
  <si>
    <t>AENES</t>
  </si>
  <si>
    <t>BU</t>
  </si>
  <si>
    <t>ITRF</t>
  </si>
  <si>
    <t>Total BIATSS</t>
  </si>
  <si>
    <t>Personnels mis à disposition</t>
  </si>
  <si>
    <t>Enseignant</t>
  </si>
  <si>
    <t>Effectif</t>
  </si>
  <si>
    <t>% type pop</t>
  </si>
  <si>
    <t>%F</t>
  </si>
  <si>
    <t>%H</t>
  </si>
  <si>
    <t>Répartition des effectifs UJM par type de population et genre</t>
  </si>
  <si>
    <t>Enseignants HU</t>
  </si>
  <si>
    <t>Enseignants Chercheurs</t>
  </si>
  <si>
    <t>Enseignants 2nd degré</t>
  </si>
  <si>
    <t>ATER</t>
  </si>
  <si>
    <t>Lecteurs</t>
  </si>
  <si>
    <t>Médicaux sociaux</t>
  </si>
  <si>
    <t>Doctorants</t>
  </si>
  <si>
    <t>Chercheurs</t>
  </si>
  <si>
    <t>Doctorants et chercheurs</t>
  </si>
  <si>
    <t>ETP</t>
  </si>
  <si>
    <t>Titulaire</t>
  </si>
  <si>
    <t>ANT</t>
  </si>
  <si>
    <t>Total doctorants et chercheurs</t>
  </si>
  <si>
    <t>Effectifs physiques gérés</t>
  </si>
  <si>
    <t>Répartition des agents contractuels par type de population et type de contrat</t>
  </si>
  <si>
    <t>CDD-Apprenti</t>
  </si>
  <si>
    <t>% F/H</t>
  </si>
  <si>
    <t>Passages en CDI</t>
  </si>
  <si>
    <t>recruté en CDI</t>
  </si>
  <si>
    <t>5 à 9 ans</t>
  </si>
  <si>
    <t>0 à 4 ans</t>
  </si>
  <si>
    <t>Population BIATSS titulaires et contractuels en activité</t>
  </si>
  <si>
    <t>A</t>
  </si>
  <si>
    <t>B</t>
  </si>
  <si>
    <t>C</t>
  </si>
  <si>
    <t>% catégorie</t>
  </si>
  <si>
    <t>Répartition des effectifs BIATSS par catégorie et statut</t>
  </si>
  <si>
    <t>Contractuels</t>
  </si>
  <si>
    <t>Répartition des effectifs BIATSS par catégorie</t>
  </si>
  <si>
    <t>Répartition des effectifs BIATSS par filière</t>
  </si>
  <si>
    <t>Répartition des effectifs BIATSS par catégorie et genre</t>
  </si>
  <si>
    <t>Répartition des effectifs BIATSS par statut</t>
  </si>
  <si>
    <t>Effectifs BIATSS titulaires - Données Générales</t>
  </si>
  <si>
    <t>A+</t>
  </si>
  <si>
    <t>Total AENES</t>
  </si>
  <si>
    <t>Biblio</t>
  </si>
  <si>
    <t>Total Biblio</t>
  </si>
  <si>
    <t>Total ITRF</t>
  </si>
  <si>
    <t>Total Médicaux sociaux</t>
  </si>
  <si>
    <t>DGS</t>
  </si>
  <si>
    <t>Agent comptable</t>
  </si>
  <si>
    <t>AAE</t>
  </si>
  <si>
    <t>SAENES</t>
  </si>
  <si>
    <t>ADJAENES</t>
  </si>
  <si>
    <t>CONS GN BI</t>
  </si>
  <si>
    <t>BIBLIOTHECAIRE</t>
  </si>
  <si>
    <t>CONSV BIBL(1992)</t>
  </si>
  <si>
    <t>BIBAS</t>
  </si>
  <si>
    <t>MAGASINIER</t>
  </si>
  <si>
    <t>IGR</t>
  </si>
  <si>
    <t>IGE</t>
  </si>
  <si>
    <t>ASI</t>
  </si>
  <si>
    <t>TECH</t>
  </si>
  <si>
    <t>ATRF</t>
  </si>
  <si>
    <t>Infirmier-e-s</t>
  </si>
  <si>
    <t>ASSAE</t>
  </si>
  <si>
    <t>ADMENESR</t>
  </si>
  <si>
    <t>Total A</t>
  </si>
  <si>
    <t>Total B</t>
  </si>
  <si>
    <t>Total C</t>
  </si>
  <si>
    <t>Effectifs BIATSS titulaires répartis par filière</t>
  </si>
  <si>
    <t>Effectifs BIATSS Titulaires ventilés par filière et genre</t>
  </si>
  <si>
    <t>Effectifs BIATSS contractuels - Données Générales</t>
  </si>
  <si>
    <t>Total CDI</t>
  </si>
  <si>
    <t>Total CDD</t>
  </si>
  <si>
    <t>Effectifs Enseignants titulaires - Données Générales</t>
  </si>
  <si>
    <t>EC</t>
  </si>
  <si>
    <t>PR</t>
  </si>
  <si>
    <t>MCF</t>
  </si>
  <si>
    <t>Total EC</t>
  </si>
  <si>
    <t>HU</t>
  </si>
  <si>
    <t>PUPH</t>
  </si>
  <si>
    <t>PUMG</t>
  </si>
  <si>
    <t>MCPH</t>
  </si>
  <si>
    <t>MCMG</t>
  </si>
  <si>
    <t>Total HU</t>
  </si>
  <si>
    <t>2nd degré</t>
  </si>
  <si>
    <t>AGREGE</t>
  </si>
  <si>
    <t>CERTIFIE</t>
  </si>
  <si>
    <t>PLP</t>
  </si>
  <si>
    <t>PEPS</t>
  </si>
  <si>
    <t>Total 2nd degré</t>
  </si>
  <si>
    <t>Effectifs Enseignants titulaires répartis par population</t>
  </si>
  <si>
    <t>Effectifs enseignants titulaires répartis par corps</t>
  </si>
  <si>
    <t>Effectifs Enseignants titulaires répartis par population et genre</t>
  </si>
  <si>
    <t>Doctorants et chercheurs ANT</t>
  </si>
  <si>
    <t>Droit, Economie, Gestion</t>
  </si>
  <si>
    <t>Lettres et Sciences Humaines</t>
  </si>
  <si>
    <t>Pluridisciplinaire</t>
  </si>
  <si>
    <t>Sciences</t>
  </si>
  <si>
    <t>Médecince</t>
  </si>
  <si>
    <t>Répartition des Enseignants Chercheurs et Enseignants HU</t>
  </si>
  <si>
    <t xml:space="preserve"> titulaires par grande section CNU</t>
  </si>
  <si>
    <t xml:space="preserve">Répartition des Enseignants Chercheurs </t>
  </si>
  <si>
    <t>titulaires par grande section CNU</t>
  </si>
  <si>
    <t>Effectifs Enseignants contractuels - Données Générales</t>
  </si>
  <si>
    <t>Associé PR</t>
  </si>
  <si>
    <t>Associé MCF</t>
  </si>
  <si>
    <t>Chef Clinique</t>
  </si>
  <si>
    <t>Associé HU</t>
  </si>
  <si>
    <t>PHU</t>
  </si>
  <si>
    <t>doctorants</t>
  </si>
  <si>
    <t>Total Chercheurs</t>
  </si>
  <si>
    <t>EC LRU</t>
  </si>
  <si>
    <t>CPJ</t>
  </si>
  <si>
    <t>AHU</t>
  </si>
  <si>
    <t>Chercheurs ANT</t>
  </si>
  <si>
    <t>Effectifs Enseignants contractuels répartis par population</t>
  </si>
  <si>
    <t>Effectifs Enseignants contractuels répartis  par population et genre</t>
  </si>
  <si>
    <t>Âge moyen</t>
  </si>
  <si>
    <t>Féminin</t>
  </si>
  <si>
    <t>Masculin</t>
  </si>
  <si>
    <t>Tout UJM</t>
  </si>
  <si>
    <t>44,3 ans</t>
  </si>
  <si>
    <t>Âge médian</t>
  </si>
  <si>
    <t>45 ans</t>
  </si>
  <si>
    <t>46 ans</t>
  </si>
  <si>
    <t>Part des plus de 60 ans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</si>
  <si>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</si>
  <si>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</si>
  <si>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</si>
  <si>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</si>
  <si>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</si>
  <si>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</si>
  <si>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</si>
  <si>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</si>
  <si>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</si>
  <si>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&lt; 30 ans</t>
  </si>
  <si>
    <t>&gt; 50 ans</t>
  </si>
  <si>
    <t>30-49 ans</t>
  </si>
  <si>
    <t>47 ans</t>
  </si>
  <si>
    <t>49 ans</t>
  </si>
  <si>
    <t>Répartition des effectifs de l'UJM par grandes tranches d'âge</t>
  </si>
  <si>
    <t>Population des BIATSS en activité</t>
  </si>
  <si>
    <t>44,8 ans</t>
  </si>
  <si>
    <t>&gt; 65 ans</t>
  </si>
  <si>
    <t>Répartition des effectifs BIATSS par grandes tranches d'âge</t>
  </si>
  <si>
    <t xml:space="preserve"> par grandes tranches d'âge</t>
  </si>
  <si>
    <t>Population des BIATSS de catégorie A</t>
  </si>
  <si>
    <t>44,2 ans</t>
  </si>
  <si>
    <t>Répartition des effectifs BIATSS de catégorie A</t>
  </si>
  <si>
    <t>Population des BIATSS de catégorie B</t>
  </si>
  <si>
    <t>45,1 ans</t>
  </si>
  <si>
    <t>Population des BIATSS de catégorie C</t>
  </si>
  <si>
    <t>Répartition des effectifs BIATSS de catégorie B</t>
  </si>
  <si>
    <t>Répartition des effectifs BIATSS de catégorie C</t>
  </si>
  <si>
    <t>Arrivée de titulaires</t>
  </si>
  <si>
    <t>Concours</t>
  </si>
  <si>
    <t>Détachement</t>
  </si>
  <si>
    <t>Mise à disposition</t>
  </si>
  <si>
    <t>Mutation</t>
  </si>
  <si>
    <t>Arrivée de contractuels</t>
  </si>
  <si>
    <t>Arrivée de contractuels réparties par genre</t>
  </si>
  <si>
    <t>BIATSS A</t>
  </si>
  <si>
    <t>BIATSS B</t>
  </si>
  <si>
    <t>BIATSS C</t>
  </si>
  <si>
    <t>Arrivée de contractuels réparties par populations</t>
  </si>
  <si>
    <t>Départs de titulaires</t>
  </si>
  <si>
    <t>Décès</t>
  </si>
  <si>
    <t>Démission</t>
  </si>
  <si>
    <t>Fin de détachement</t>
  </si>
  <si>
    <t>Radiation</t>
  </si>
  <si>
    <t>Retraite</t>
  </si>
  <si>
    <t>Rupture conventionnelle</t>
  </si>
  <si>
    <t>Total Femmes</t>
  </si>
  <si>
    <t>Total Hommes</t>
  </si>
  <si>
    <t>Départs des titulaires selon le motif</t>
  </si>
  <si>
    <t>Départs des titulaires selon l'âge, le type de population et le genre</t>
  </si>
  <si>
    <t>65-69</t>
  </si>
  <si>
    <t>70 ans et +</t>
  </si>
  <si>
    <t>ENS</t>
  </si>
  <si>
    <t>Total Général</t>
  </si>
  <si>
    <t>Départs des titulaires selon le type de population et le genre</t>
  </si>
  <si>
    <t>Départs en retraite des titulaires</t>
  </si>
  <si>
    <t>Répartition des départs en retraite des titulaires par genre</t>
  </si>
  <si>
    <t>Répartition des départs en retraite des titulaires par type de population</t>
  </si>
  <si>
    <t>Répartition des départs en retraite des titulaires par genre et type de population</t>
  </si>
  <si>
    <t>BIATSS - A</t>
  </si>
  <si>
    <t>BIATSS - B</t>
  </si>
  <si>
    <t>BIATSS - C</t>
  </si>
  <si>
    <t xml:space="preserve">Femmes </t>
  </si>
  <si>
    <t>Répartition des départs en retraite des titulaires BIATSS par catégorie</t>
  </si>
  <si>
    <t>Nombre d'agents formés</t>
  </si>
  <si>
    <t>Selon la population et le genre</t>
  </si>
  <si>
    <t>Total Titulaires</t>
  </si>
  <si>
    <t>Total Contractuels</t>
  </si>
  <si>
    <t>Nombre de jours de formation</t>
  </si>
  <si>
    <t>selon population et genre</t>
  </si>
  <si>
    <t>Selon le statut des agents, leur catégorie et leur genre</t>
  </si>
  <si>
    <t>Fillière ITRF</t>
  </si>
  <si>
    <t>Promouvables</t>
  </si>
  <si>
    <t>Promus</t>
  </si>
  <si>
    <t>Tx promus/
promouvables</t>
  </si>
  <si>
    <t>IGE vers IGR</t>
  </si>
  <si>
    <t>ASI vers IGE</t>
  </si>
  <si>
    <t>TECH vers ASI</t>
  </si>
  <si>
    <t>ATRF vers TECH</t>
  </si>
  <si>
    <t>nb agents promouvables</t>
  </si>
  <si>
    <t>Nb agents promus</t>
  </si>
  <si>
    <t>Fillière AENES</t>
  </si>
  <si>
    <t>SAENES vers AAE</t>
  </si>
  <si>
    <t>ADJAENES vers SAENES</t>
  </si>
  <si>
    <t>Fillière BU</t>
  </si>
  <si>
    <t>CONSV BIBL vers CONS GN BI</t>
  </si>
  <si>
    <t>BIBLIOTHECAIRE vers CONSV BIBL</t>
  </si>
  <si>
    <t>MAGASINIER vers BIBAS</t>
  </si>
  <si>
    <t>BIBAS vers BIBLIOTHECAIRE</t>
  </si>
  <si>
    <t>IGE CN vers IGE HC</t>
  </si>
  <si>
    <t>TECH CS vers TECH CE</t>
  </si>
  <si>
    <t>TECH CN vers TECH CS</t>
  </si>
  <si>
    <t>ATRF P2C vers ATRF P1C</t>
  </si>
  <si>
    <t>ATRF vers ATRF P2C</t>
  </si>
  <si>
    <t>Avancement Corps</t>
  </si>
  <si>
    <t>Avancement Grade</t>
  </si>
  <si>
    <t>AAE vers APAE</t>
  </si>
  <si>
    <t>SAENES CS vers SAENES CE</t>
  </si>
  <si>
    <t>SAENES CN vers SAENES CS</t>
  </si>
  <si>
    <t>ADJ P2C vers ADJ P1C</t>
  </si>
  <si>
    <t>ADJAENES vers ADJ P2C</t>
  </si>
  <si>
    <t>CBIB vers CONS CH BI</t>
  </si>
  <si>
    <t>BIBAS CN vers BIBAS CE</t>
  </si>
  <si>
    <t>MAG P2C vers MAG P1C</t>
  </si>
  <si>
    <t>MAG vers MAG P2C</t>
  </si>
  <si>
    <t>NB Candidats</t>
  </si>
  <si>
    <t>Tx promotion Promus /
Candidats</t>
  </si>
  <si>
    <t>Tx promotion Promus /
Promouvables</t>
  </si>
  <si>
    <t>PR UNI Cex 1 vers 
PR UNI Cex 2</t>
  </si>
  <si>
    <t>PR UNI 1C vers 
PR UNI Cex 1</t>
  </si>
  <si>
    <t>PR UNI 2C vers 
PR UNI 1C</t>
  </si>
  <si>
    <t>MCF HC vers 
échelon exceptionnel</t>
  </si>
  <si>
    <t>Enseignant du 2nd degré</t>
  </si>
  <si>
    <t>MCF CL NORM vers
 MCF HC</t>
  </si>
  <si>
    <t>Etat</t>
  </si>
  <si>
    <t>Ressources Propres</t>
  </si>
  <si>
    <t>Masse salariale chargée</t>
  </si>
  <si>
    <t>Vacataires</t>
  </si>
  <si>
    <t>Total générale</t>
  </si>
  <si>
    <t>Masse salariale brute annuelle cumulée des 10 rémunérations les plus élevées</t>
  </si>
  <si>
    <t>Masse salariale Brute cumulée des 10 rémunérations les plus élevées</t>
  </si>
  <si>
    <t>Nb de femmes faisant partie des 10 rémunérations les plus élevées</t>
  </si>
  <si>
    <t>Rémunérations annuelles brutes versées</t>
  </si>
  <si>
    <t>Selon l'age et le sexe</t>
  </si>
  <si>
    <t>18-19</t>
  </si>
  <si>
    <t>dont heures supplémentaires, indemnités de résidence et SFT</t>
  </si>
  <si>
    <t>Heures Sup</t>
  </si>
  <si>
    <t>Ind Résidence</t>
  </si>
  <si>
    <t>SFT</t>
  </si>
  <si>
    <t>Selon la catégorie et le genre</t>
  </si>
  <si>
    <t>Agents bénéficiant de la GIPA</t>
  </si>
  <si>
    <t>Accidents de service, de trajet, maladies professionnelles</t>
  </si>
  <si>
    <t>Accident de trajet</t>
  </si>
  <si>
    <t>Accident de mission</t>
  </si>
  <si>
    <t>Accident de service</t>
  </si>
  <si>
    <t>Répartition par catégorie et genre</t>
  </si>
  <si>
    <t>Répartition âge et genre</t>
  </si>
  <si>
    <t>Répartition par âge et cat</t>
  </si>
  <si>
    <t>Répatition par population et genre</t>
  </si>
  <si>
    <t>Protection sociale</t>
  </si>
  <si>
    <t>Nombre d’agents bénéficiaires de prestations sociales</t>
  </si>
  <si>
    <t>Participation aux frais de transport et forfait mobilité durable</t>
  </si>
  <si>
    <t xml:space="preserve">Personnels enseignants </t>
  </si>
  <si>
    <t xml:space="preserve">Personnels BIATSS </t>
  </si>
  <si>
    <t xml:space="preserve">Total </t>
  </si>
  <si>
    <t>Montant</t>
  </si>
  <si>
    <t>Frais de transports</t>
  </si>
  <si>
    <t>Allocations enfants handicapés</t>
  </si>
  <si>
    <t>Aides séjours d'enfants</t>
  </si>
  <si>
    <t>Secours d'urgence</t>
  </si>
  <si>
    <t>Aides études supérieures</t>
  </si>
  <si>
    <t>Aides BAFA</t>
  </si>
  <si>
    <t>Forfait mobilité durable</t>
  </si>
  <si>
    <t>Service social</t>
  </si>
  <si>
    <t>Origine de la demande</t>
  </si>
  <si>
    <t>Santé</t>
  </si>
  <si>
    <t>Professionnel</t>
  </si>
  <si>
    <t>Personnel</t>
  </si>
  <si>
    <t>Typologie des personnels demandeurs</t>
  </si>
  <si>
    <t>profils familiaux</t>
  </si>
  <si>
    <t>Couples avec enfants à charge</t>
  </si>
  <si>
    <t>Familles monoparentales</t>
  </si>
  <si>
    <t>Personnes vivant seules</t>
  </si>
  <si>
    <t>Couples sans enfant</t>
  </si>
  <si>
    <t>Nombre d'agents ayant été absents au moins un jour dans l'année selon le type de population, le statut et le genre</t>
  </si>
  <si>
    <t>enseignant</t>
  </si>
  <si>
    <t>Contractuel</t>
  </si>
  <si>
    <t>total</t>
  </si>
  <si>
    <t>Selon le genre et l'âge</t>
  </si>
  <si>
    <t>65 ans et +</t>
  </si>
  <si>
    <t>Selon le motif d'absence et le genre</t>
  </si>
  <si>
    <t>Congé accident travail</t>
  </si>
  <si>
    <t>Congé grave maladie</t>
  </si>
  <si>
    <t>Congé longue durée</t>
  </si>
  <si>
    <t>Congé longue maladie</t>
  </si>
  <si>
    <t>Congé ordinaire de maladie</t>
  </si>
  <si>
    <t>Selon le motif d'absence et le type de population</t>
  </si>
  <si>
    <t>Selon le motif d'absence et le statut</t>
  </si>
  <si>
    <t>Selon le motif d'absence, la catégorie et les tranches d'âges</t>
  </si>
  <si>
    <t>Nombre de journées d'absence pour raison de santé</t>
  </si>
  <si>
    <t>Taux d'absentéisme</t>
  </si>
  <si>
    <t>18-24</t>
  </si>
  <si>
    <t>60-65</t>
  </si>
  <si>
    <t>TEMPS PLEIN</t>
  </si>
  <si>
    <t>Répartition des effectifs en fonction au 31/12</t>
  </si>
  <si>
    <t>Répartition par âge et catégorie</t>
  </si>
  <si>
    <t>TEMPS PARTIEL DE DROIT</t>
  </si>
  <si>
    <t>TEMPS PARTIEL SUR AUTORISATION</t>
  </si>
  <si>
    <t>TEMPS INCOMPLET</t>
  </si>
  <si>
    <t>Rappel du cadre</t>
  </si>
  <si>
    <t>Congé parental</t>
  </si>
  <si>
    <t>Congé paternité et accueil de l'enfant</t>
  </si>
  <si>
    <t>Congé présence parentale</t>
  </si>
  <si>
    <t>Nombre total de journées d'absence</t>
  </si>
  <si>
    <t>Nombre d'agents</t>
  </si>
  <si>
    <t>Nombre de CET ouverts au 31 décembre</t>
  </si>
  <si>
    <t>Selon la catégorie et l'âge</t>
  </si>
  <si>
    <t>Nombre de nouveaux CET créés au cours de l'année</t>
  </si>
  <si>
    <t>Nombre d'agents ayant déposé des jours sur leur CET dans l'année</t>
  </si>
  <si>
    <t>Nombre total de jours stockés sur CET au 31 décembre</t>
  </si>
  <si>
    <t>Nombre de jours stockés sur CET au cours de l'année</t>
  </si>
  <si>
    <t>Congés</t>
  </si>
  <si>
    <t>Indemnisation</t>
  </si>
  <si>
    <t>Nombre de jours de grève dans l'année</t>
  </si>
  <si>
    <t>Doctorant et chercheurs ANT</t>
  </si>
  <si>
    <t>CDD-Projet</t>
  </si>
  <si>
    <t>Ensemble de la population UJM en activité au 31 décembre 2023</t>
  </si>
  <si>
    <t>43,8 ans</t>
  </si>
  <si>
    <t>&lt; 20</t>
  </si>
  <si>
    <t>20-24 ans</t>
  </si>
  <si>
    <t>25-29 ans</t>
  </si>
  <si>
    <t>30-34 ans</t>
  </si>
  <si>
    <t>35-39 ans</t>
  </si>
  <si>
    <t>40-44 ans</t>
  </si>
  <si>
    <t>45-49 ans</t>
  </si>
  <si>
    <t>60-64 ans</t>
  </si>
  <si>
    <t>44,6 ans</t>
  </si>
  <si>
    <t>&lt; 20 ans</t>
  </si>
  <si>
    <t>45,7 ans</t>
  </si>
  <si>
    <t>42,9 ans</t>
  </si>
  <si>
    <t>42 ans</t>
  </si>
  <si>
    <t>43,7 ans</t>
  </si>
  <si>
    <t>45,8 ans</t>
  </si>
  <si>
    <t>50-54 ans</t>
  </si>
  <si>
    <t>55-59 ans</t>
  </si>
  <si>
    <t>Ne sont pas considérés comme des arrivées :
- les contractuels présents au 01/01/2023 et au 31/12/2023 qui n'ont pas connu de rupture entre leurs contrats au cours de l'année.</t>
  </si>
  <si>
    <t>Actions culturelles</t>
  </si>
  <si>
    <t>Evènements culturels à la Maison de l'Université</t>
  </si>
  <si>
    <t>Fréquentation moyenne à ces évènements</t>
  </si>
  <si>
    <t>Nombre total de spectateurs à ces évènements</t>
  </si>
  <si>
    <t>Pochettes culturelles vendues</t>
  </si>
  <si>
    <t>Billetteries spectacles vivants vendues à l'unité</t>
  </si>
  <si>
    <t>Spectacles jeune public</t>
  </si>
  <si>
    <t>Visites patrimoniales</t>
  </si>
  <si>
    <t>Billets cinéma vendus</t>
  </si>
  <si>
    <t>Budget du Fest'U</t>
  </si>
  <si>
    <t>Activités de loisirs</t>
  </si>
  <si>
    <t>Arbre de Noël</t>
  </si>
  <si>
    <t>Sport (en collaboration avec le SUAPS)</t>
  </si>
  <si>
    <t>Repas des personnels</t>
  </si>
  <si>
    <t>Afterwork</t>
  </si>
  <si>
    <t>adhésion interce42</t>
  </si>
  <si>
    <t>Moyens financiers</t>
  </si>
  <si>
    <t>Nombre de personnes vues</t>
  </si>
  <si>
    <t>Nombre d'entretiens</t>
  </si>
  <si>
    <t>Formation des personnels BIATSS</t>
  </si>
  <si>
    <t>Type formation</t>
  </si>
  <si>
    <t>Cat A</t>
  </si>
  <si>
    <t>Cat B</t>
  </si>
  <si>
    <t>Cat C</t>
  </si>
  <si>
    <t>F</t>
  </si>
  <si>
    <t>H</t>
  </si>
  <si>
    <t>Management</t>
  </si>
  <si>
    <t>Gestion, communication,
Organisation du travail</t>
  </si>
  <si>
    <t>Informatique-Bureautique-Scientifique</t>
  </si>
  <si>
    <t>Préparation concours diplôme</t>
  </si>
  <si>
    <t>Langues étrangères</t>
  </si>
  <si>
    <t>Handicap</t>
  </si>
  <si>
    <t>Risques Psycho-Sociaux</t>
  </si>
  <si>
    <t>Hygiène et Sécurité</t>
  </si>
  <si>
    <t>Soutien à la pédagogie</t>
  </si>
  <si>
    <t>Total/catégorie/genre</t>
  </si>
  <si>
    <t>Total/catégorie</t>
  </si>
  <si>
    <t>Stagiaires 2023</t>
  </si>
  <si>
    <t>Selon le statut de l'agent, leur catégorie et leur genre</t>
  </si>
  <si>
    <t>Nombre d'heures-stagiaires 2023</t>
  </si>
  <si>
    <t>Formation des personnels ENS</t>
  </si>
  <si>
    <t>Dépenses de formation</t>
  </si>
  <si>
    <t>Coût pédagogique</t>
  </si>
  <si>
    <t>Frais de mission</t>
  </si>
  <si>
    <t>Dispositif d'accompagnement</t>
  </si>
  <si>
    <t>VAE</t>
  </si>
  <si>
    <t>Congé de formation</t>
  </si>
  <si>
    <t>Bilan de compétences</t>
  </si>
  <si>
    <t>Dispositif / Pop</t>
  </si>
  <si>
    <t>Formation en hygiène et sécurité</t>
  </si>
  <si>
    <t>Habilitation Electrique (initiale et recyclage)</t>
  </si>
  <si>
    <t>Sauveteur Secourisme du Travail - SST (initiale et recyclage)</t>
  </si>
  <si>
    <t>Sensibilisation aux premiers secours</t>
  </si>
  <si>
    <t>Sécurité dans les ERP</t>
  </si>
  <si>
    <t>Sécurité incendie - Manipulation sur feux réels</t>
  </si>
  <si>
    <t>Formation assistant de prévention</t>
  </si>
  <si>
    <t>Conduite des autoclaves</t>
  </si>
  <si>
    <t>Applications et logiciels d'aide à la gestion de la prévention des risques</t>
  </si>
  <si>
    <t>1ers secours en santé mentale</t>
  </si>
  <si>
    <t>Risques écran</t>
  </si>
  <si>
    <t>IGR vers IGR HC</t>
  </si>
  <si>
    <t>&gt; 65</t>
  </si>
  <si>
    <t xml:space="preserve"> </t>
  </si>
  <si>
    <t>Personnels enseignants : répartition par sexe et par grands secteurs</t>
  </si>
  <si>
    <t>Personnels BIATSS (titulaires &amp; contractuels) : répartition par sexe et par catégorie</t>
  </si>
  <si>
    <t>Répartition globale par sexe des personnels en activités au 31/12/23</t>
  </si>
  <si>
    <t>Non Titulaire</t>
  </si>
  <si>
    <t>Chercheurs et doctorants</t>
  </si>
  <si>
    <t>Total UJM</t>
  </si>
  <si>
    <t>PR - PUPH</t>
  </si>
  <si>
    <t>MCF - MCUPH</t>
  </si>
  <si>
    <t>Personnels enseignants titulaires : répartition par sexe et par corps</t>
  </si>
  <si>
    <t>Parts de femmes resp de structure</t>
  </si>
  <si>
    <t>Parts de femmes VP et CM</t>
  </si>
  <si>
    <t>Parts de femmes Directrice de labo</t>
  </si>
  <si>
    <t>Taux féminisation</t>
  </si>
  <si>
    <t>CITIS</t>
  </si>
  <si>
    <t>Maladie pro.</t>
  </si>
  <si>
    <t>Femme</t>
  </si>
  <si>
    <t>Homme</t>
  </si>
  <si>
    <t>Grave maladie</t>
  </si>
  <si>
    <t>Accident service</t>
  </si>
  <si>
    <t>Maladie pro</t>
  </si>
  <si>
    <t>Répartition des effectifs UJM par filière et type de population</t>
  </si>
  <si>
    <t>Répartition des travailleurs handicapés par sexe et statut</t>
  </si>
  <si>
    <t>Répartition des travailleurs handicapés par sexe et type de contrat</t>
  </si>
  <si>
    <t>Taux d’emploi des travailleurs handicapés à l'UJM au 31/12/23</t>
  </si>
  <si>
    <t>Dépenses engagées par l'Univesité Jean Monnet pour l'accueil et le maintien dans l'emploi des travailleurs handicapés</t>
  </si>
  <si>
    <t>Dépenses pour accueillir ou maintenir dans l'emploi des personnes lourdement handicapées</t>
  </si>
  <si>
    <t>Assistants travailleurs handicapés</t>
  </si>
  <si>
    <t>Remboursement taxis</t>
  </si>
  <si>
    <t>Aménagements de poste</t>
  </si>
  <si>
    <t>Travaux d'accessibilité des locaux</t>
  </si>
  <si>
    <t>Rémunération des personnels affectés à des missions d'aide à l'accueil, à l'intégration et à l'accompagnement des élèves ou étudiants handicapés au sein des établissements dont les étudiants sont sous contrats avec mission d'accueil d'étudiants en situation de handicap</t>
  </si>
  <si>
    <t>Factures réglées aux ateliers protégés</t>
  </si>
  <si>
    <t>Fournitures</t>
  </si>
  <si>
    <t>-</t>
  </si>
  <si>
    <t>Montant de la contribution de l'Université</t>
  </si>
  <si>
    <t>Congés suite accident</t>
  </si>
  <si>
    <t>CLM</t>
  </si>
  <si>
    <t>CMO</t>
  </si>
  <si>
    <t>Maladie professionnelle ou imputable au serv.</t>
  </si>
  <si>
    <t>Congé suite accident de service ou de trajet</t>
  </si>
  <si>
    <t>Congé invalidité temporaire imputable au serv</t>
  </si>
  <si>
    <t>Congé de maladie ordinaire</t>
  </si>
  <si>
    <t>Total maladie pro</t>
  </si>
  <si>
    <t>Total grave maladie</t>
  </si>
  <si>
    <t>Total Congés suite accident</t>
  </si>
  <si>
    <t>Total CLD</t>
  </si>
  <si>
    <t>Total CMO</t>
  </si>
  <si>
    <t>Total CITIS</t>
  </si>
  <si>
    <t>Total CLM</t>
  </si>
  <si>
    <t>Congé bonifié</t>
  </si>
  <si>
    <t>Congé de formation professionnelle</t>
  </si>
  <si>
    <t>Congé lié à la maternité</t>
  </si>
  <si>
    <t>Congé pour projet pédagogique</t>
  </si>
  <si>
    <t>CRCT au titre de l'établissement</t>
  </si>
  <si>
    <t>Nombre de préavis</t>
  </si>
  <si>
    <t>Nombre de jours d'absence pour grève</t>
  </si>
  <si>
    <t>Congés bonifiés</t>
  </si>
  <si>
    <t>Congés de formation profesionnels</t>
  </si>
  <si>
    <t>Congés pour projet pédagogique</t>
  </si>
  <si>
    <t>Service Hygiène et Sécurité</t>
  </si>
  <si>
    <t>Acteurs de prévention</t>
  </si>
  <si>
    <t>1 Ingénieur d'études à 100%
Conseillère Prévention</t>
  </si>
  <si>
    <t>1 Technicien à 100%</t>
  </si>
  <si>
    <t>1 Adjoint Technique à 50%</t>
  </si>
  <si>
    <t>Budget annuel</t>
  </si>
  <si>
    <t>réparti autour des axes suivants</t>
  </si>
  <si>
    <t>- Organisation des situations d'urgence - PPMS;</t>
  </si>
  <si>
    <t>- Investissement en hygiène et sécurité.</t>
  </si>
  <si>
    <t>Dialogue social</t>
  </si>
  <si>
    <t>Répartition des représentants du personnel</t>
  </si>
  <si>
    <t>CSA</t>
  </si>
  <si>
    <t>Suppléants</t>
  </si>
  <si>
    <t>CSA - Formation spécialisée</t>
  </si>
  <si>
    <t>Commission paritaire d'établissement</t>
  </si>
  <si>
    <t>Nombre de réunions par instances</t>
  </si>
  <si>
    <t>Formation spécialisée</t>
  </si>
  <si>
    <t>CPE</t>
  </si>
  <si>
    <t>Nombre de décharges et nombre d'heures de décharges</t>
  </si>
  <si>
    <t>Nb heures</t>
  </si>
  <si>
    <t>Nb décharges</t>
  </si>
  <si>
    <t>1602 ETPT</t>
  </si>
  <si>
    <t>Pers. CNRS</t>
  </si>
  <si>
    <t>Pers. INSERM</t>
  </si>
  <si>
    <t>Pers. EFS</t>
  </si>
  <si>
    <t>MAD UDL</t>
  </si>
  <si>
    <t>Pers Hosp du CHU</t>
  </si>
  <si>
    <t>Pers. IOGS</t>
  </si>
  <si>
    <t>Total mis à disposition</t>
  </si>
  <si>
    <t>Doctorants 
et 
chercheurs</t>
  </si>
  <si>
    <t>279 bons cadeaux</t>
  </si>
  <si>
    <t>116 adhérents</t>
  </si>
  <si>
    <t>429 personnels</t>
  </si>
  <si>
    <t>7 évènements
293 participants</t>
  </si>
  <si>
    <t>- Démarche Globale  et de prévention des risques professionnels (gestion des déchets / vérification des équipements : de ventilation - PSM/ Sorbonnes - de chute de hauteur - nacelle - défibrillateurs - appareils générateurs de RX - mesures polluants atmosphériques/ chimiques/ CEM/ Bruit...Achat d'EPI chute de hauteur);</t>
  </si>
  <si>
    <t>Situations de changement (séparation, naissance,…), logement, famille (enfantss et ascendants), budget (difficultés finacières passagères, endettement, rémunération),instruction de dossiers d'aides et de prêts, accès aux droits.</t>
  </si>
  <si>
    <t>Questions liées à la retraite, domiane des RPS (Risques Psycho Sociaux), difficultés d'adaptation,  d'intégration, mutation, reconversion, …</t>
  </si>
  <si>
    <t xml:space="preserve">Information sur la protection sociale (maladie, handicap, invalidité…), accompagnement dans le retour au travail et/ou la cessation d'activité, aménagement de poste, demandes FIPHFP, soutien psychologique. </t>
  </si>
  <si>
    <t>Dont</t>
  </si>
  <si>
    <t>+9% par rapport 2022</t>
  </si>
  <si>
    <t>Répartion par population selon le genre</t>
  </si>
  <si>
    <t>Non titulaire</t>
  </si>
  <si>
    <t>Total Ens</t>
  </si>
  <si>
    <t>Répartion par catégorie selon le genre des personnels BIATSS</t>
  </si>
  <si>
    <t>Répartion par statut selon le genre des personnels BIATSS</t>
  </si>
  <si>
    <t>Répartion par statut selon le genre des personnels enseignants</t>
  </si>
  <si>
    <t>Aide insertion professionnelle</t>
  </si>
  <si>
    <t>Soutien informatique</t>
  </si>
  <si>
    <t>Appui aux personnels bibliothèque</t>
  </si>
  <si>
    <t>Promotion offre de formation</t>
  </si>
  <si>
    <t>Tutorat</t>
  </si>
  <si>
    <t>Tutorat PRL</t>
  </si>
  <si>
    <t>Accueil des étudiants</t>
  </si>
  <si>
    <t>Nombre de contrats par type de missions</t>
  </si>
  <si>
    <t>Accueil et assistance étudiants en situation de handicap</t>
  </si>
  <si>
    <t>Nombre d'heures par type de missions</t>
  </si>
  <si>
    <t>Contrats étudiants</t>
  </si>
  <si>
    <t>Stagiaires</t>
  </si>
  <si>
    <t>UFR de Médecine</t>
  </si>
  <si>
    <t>Laboratoire Hubert Curien</t>
  </si>
  <si>
    <t>LASPI</t>
  </si>
  <si>
    <t>UFR des Sciences</t>
  </si>
  <si>
    <t>DNUM</t>
  </si>
  <si>
    <t>IUT de Saint Etienne</t>
  </si>
  <si>
    <t>UFR SHS</t>
  </si>
  <si>
    <t>Direction de l'International</t>
  </si>
  <si>
    <t>SCD</t>
  </si>
  <si>
    <t>DFIP</t>
  </si>
  <si>
    <t>Direction du Patrimoine</t>
  </si>
  <si>
    <t>Télécom</t>
  </si>
  <si>
    <t>IAE</t>
  </si>
  <si>
    <t>DEPT</t>
  </si>
  <si>
    <t>Direction des Ressources Humaines</t>
  </si>
  <si>
    <t>UFR de Droit</t>
  </si>
  <si>
    <t>Agence Comptable</t>
  </si>
  <si>
    <t>UFR ALL</t>
  </si>
  <si>
    <t>ARTS</t>
  </si>
  <si>
    <t>Direction de la Communication</t>
  </si>
  <si>
    <t>Direction du Pilotage, Audit Interne et Qualité</t>
  </si>
  <si>
    <t>Saint Etienne School of Economics</t>
  </si>
  <si>
    <t>Part de femmes dans l'encadrement</t>
  </si>
  <si>
    <t>BIB vers BIB HC</t>
  </si>
  <si>
    <t>BIBAS CS vers BIBAS CE</t>
  </si>
  <si>
    <t>Effectifs BIATSS Contractuels ventilés par type de contrat et genre</t>
  </si>
  <si>
    <t>% d'agent ayant suivi au moins une formation</t>
  </si>
  <si>
    <t>maladie pro</t>
  </si>
  <si>
    <t xml:space="preserve">Répartition des accidents de service, de trajet en fonctions des arrêts </t>
  </si>
  <si>
    <t>Avec arrêt</t>
  </si>
  <si>
    <t>Sans arrêt</t>
  </si>
  <si>
    <t>Chapitre 1</t>
  </si>
  <si>
    <t>Chapitre I - Emploi - Effectif - Démographie - Parité hommes/femmes</t>
  </si>
  <si>
    <t>1. Le plafond d'emploi</t>
  </si>
  <si>
    <t>2. Effectifs</t>
  </si>
  <si>
    <t>2.1 Effectif global au 31/12/23</t>
  </si>
  <si>
    <t>2.2 Effectif BIATSS au 31/12/23</t>
  </si>
  <si>
    <t>2.3 Effectif Enseignants au 31/12/23</t>
  </si>
  <si>
    <t>2.4 Contratuels étudiants et stages</t>
  </si>
  <si>
    <t>3. Pyramides des âges</t>
  </si>
  <si>
    <t>4. Entrées</t>
  </si>
  <si>
    <t>5. Sorties</t>
  </si>
  <si>
    <t>6. Parité</t>
  </si>
  <si>
    <t>Chapitre II - Parcours professionnels</t>
  </si>
  <si>
    <t>1. Formation</t>
  </si>
  <si>
    <t>1.1 Formation (détails)</t>
  </si>
  <si>
    <t>2. Avancement BIATSS</t>
  </si>
  <si>
    <t>3. Avancement Enseignants</t>
  </si>
  <si>
    <t>Chapitre III - Emploi - Masse salariale</t>
  </si>
  <si>
    <t>1. Plafond d'emploi</t>
  </si>
  <si>
    <t>2. Masse salariale</t>
  </si>
  <si>
    <t>3. Rémunération</t>
  </si>
  <si>
    <t>Chapitre IV - Santé et QVCT</t>
  </si>
  <si>
    <t>1. Risques professionnels</t>
  </si>
  <si>
    <t>2. Actions sociales</t>
  </si>
  <si>
    <t>3. Congés pour raison de santé</t>
  </si>
  <si>
    <t>Chapitre V - Organisation</t>
  </si>
  <si>
    <t>1. Temps de travail</t>
  </si>
  <si>
    <t>2. Télétravail</t>
  </si>
  <si>
    <t>3. Absence hors raison de santé</t>
  </si>
  <si>
    <t>4. CET</t>
  </si>
  <si>
    <t>5. Handicap</t>
  </si>
  <si>
    <t>Chapitre VI - Dialogue Social</t>
  </si>
  <si>
    <t>Ens</t>
  </si>
  <si>
    <t>Nombres d'heures moyens de formation</t>
  </si>
  <si>
    <t>39 assistants de prévention (AP) 
• 20 AP consacrent 10 % de leur temps de travail à cette mission.
• 1 AP consacre 12,5% de son temps de travail.
• 15 AP consacrent 15% de leur temps de travail à cette mission.
• 1 AP consacre 20% de son temps de travail.
• 1 AP est noté comme non quantifiable.
• Aucune précision n’est apportée sur les lettres de mission des autres AP.</t>
  </si>
  <si>
    <t>1 personne compétente en radioprotection</t>
  </si>
  <si>
    <t>165 sauveteurs secouristes du travail dont 16 % sont des enseignants</t>
  </si>
  <si>
    <t xml:space="preserve">Une arrivée correspond à une nouvelle prise en charge administrative faisant suite à la signature d'un contrat. Sont inclus dans les arrivées les contractuels absents au 01/01/2023 et présents au 31/12/2023 </t>
  </si>
  <si>
    <t>Le Document Unique d'Evaluation des Risques Professionnels - DUER</t>
  </si>
  <si>
    <t>68 Unités de travail répertoriées</t>
  </si>
  <si>
    <t>Réalisé / Validé</t>
  </si>
  <si>
    <t>A réactualiser</t>
  </si>
  <si>
    <t>A réaliser</t>
  </si>
  <si>
    <t>44 unités de travail ont réalisé l'identification des risques dont 18 doivent être réactualiser
26 unités de travail doivent réaliser cette phase</t>
  </si>
  <si>
    <t>38 unités de travail ont réalisé leur Plan d'action
dont 14 doivent le réactualiser
29 unités de travail doivent le réaliser</t>
  </si>
  <si>
    <t>Non réintégration</t>
  </si>
  <si>
    <t>Nb de dossiers déposés</t>
  </si>
  <si>
    <t>Nb du dossiers déposés</t>
  </si>
  <si>
    <t>Nb dossiers déposés</t>
  </si>
  <si>
    <t>Répartition des agents titulaires arrivés en 2023 selon le motif d'arrivée</t>
  </si>
  <si>
    <t>arrivé sur profil</t>
  </si>
  <si>
    <t>Répartition des agents titulaires arrivés en 2023 par type de population</t>
  </si>
  <si>
    <t>CNU</t>
  </si>
  <si>
    <t>Local</t>
  </si>
  <si>
    <t>Spécifique</t>
  </si>
  <si>
    <t>+14% par rapport 2022</t>
  </si>
  <si>
    <t>Répartition des agents télétravaillant</t>
  </si>
  <si>
    <t>Autres dépenses (appareils auditifs,etc.)</t>
  </si>
  <si>
    <t>ADJENES</t>
  </si>
  <si>
    <t>Répartition des ETP BIATSS par catégorie et statut</t>
  </si>
  <si>
    <t>Enseignant-Chercheur</t>
  </si>
  <si>
    <t>Hospitalo-Universitaire</t>
  </si>
  <si>
    <t>42,7 ans</t>
  </si>
  <si>
    <t>44,7 ans</t>
  </si>
  <si>
    <t>43,9 ans</t>
  </si>
  <si>
    <t>43 ans</t>
  </si>
  <si>
    <t xml:space="preserve">Membres Formation spécialisée du CSA </t>
  </si>
  <si>
    <t>NB Promouvable</t>
  </si>
  <si>
    <t>PRCE / PLP / PEPS CN vers HC</t>
  </si>
  <si>
    <t>PRCE / PLP / PEPS HC vers CE</t>
  </si>
  <si>
    <t>PRCE / PLP / PEPS CE vers CE échelon spécial</t>
  </si>
  <si>
    <t>LA PRAG</t>
  </si>
  <si>
    <t>PRAG CN vers HC</t>
  </si>
  <si>
    <t>PRAG HC vers CE</t>
  </si>
  <si>
    <t>Tx promotion Promus / Candidats</t>
  </si>
  <si>
    <t>Services Centraux</t>
  </si>
  <si>
    <t>UFR Médecine</t>
  </si>
  <si>
    <t>UFR Sciences</t>
  </si>
  <si>
    <t>IUT Roanne</t>
  </si>
  <si>
    <t>IUT Saint Etienne</t>
  </si>
  <si>
    <t>SE²</t>
  </si>
  <si>
    <t>UFR Droit</t>
  </si>
  <si>
    <t>tranche d'age</t>
  </si>
  <si>
    <t>Nombre de recrutements en 2023</t>
  </si>
  <si>
    <t>Population des Enseignants et Chercheurs en activité (chercheurs inclus)</t>
  </si>
  <si>
    <t>Répartition des effectifs Enseignants et Chercheurs par grandes tranches d'âge</t>
  </si>
  <si>
    <t>65 et +</t>
  </si>
  <si>
    <t>Nombre de jours de CET consommés selon le type de consommation</t>
  </si>
  <si>
    <t>Nombre de stagiaires ayant suivi au moins une formation</t>
  </si>
  <si>
    <t xml:space="preserve">contractuels </t>
  </si>
  <si>
    <t>titulaires</t>
  </si>
  <si>
    <t>Effectifs</t>
  </si>
  <si>
    <t>Absentéisme</t>
  </si>
  <si>
    <t>toutes absences</t>
  </si>
  <si>
    <t>Maladie</t>
  </si>
  <si>
    <t>dont CMO de 1 à 10j</t>
  </si>
  <si>
    <t>dont CMO de 10j à 30j</t>
  </si>
  <si>
    <t>dont CMO &gt; 1 mois</t>
  </si>
  <si>
    <t>Congés Longue Maladie</t>
  </si>
  <si>
    <t>Congé Longue Durée</t>
  </si>
  <si>
    <t>Maternité</t>
  </si>
  <si>
    <t>Accident de travail</t>
  </si>
  <si>
    <t>Accidentologie</t>
  </si>
  <si>
    <t>Nombre d'accidents avec arrêt</t>
  </si>
  <si>
    <t>Nombre d'accidents sans arrêt</t>
  </si>
  <si>
    <t>Taux de fréquence</t>
  </si>
  <si>
    <t>Taux de gravité</t>
  </si>
  <si>
    <t/>
  </si>
  <si>
    <t>0,00</t>
  </si>
  <si>
    <t>Nombre de 1/2 journées d'autorisation d'absence accordées par les agents BIATSS pour siéger dans une instance de concertation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</si>
</sst>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#,##0.0"/>
    <numFmt numFmtId="166" formatCode="#,##0\ &quot;€&quot;"/>
    <numFmt numFmtId="167" formatCode="#,##0.00\ &quot;€&quot;"/>
    <numFmt numFmtId="168" formatCode="_-* #,##0\ &quot;€&quot;_-;\-* #,##0\ &quot;€&quot;_-;_-* &quot;-&quot;??\ &quot;€&quot;_-;_-@_-"/>
    <numFmt numFmtId="169" formatCode="\+\ 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</font>
    <font>
      <sz val="11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FFFF"/>
      <name val="Inherit"/>
    </font>
    <font>
      <sz val="9"/>
      <color rgb="FFFFFFFF"/>
      <name val="Inherit"/>
    </font>
    <font>
      <b/>
      <sz val="12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Playbill"/>
      <family val="5"/>
    </font>
    <font>
      <i/>
      <sz val="14"/>
      <color theme="0" tint="-0.499984740745262"/>
      <name val="Calibri"/>
      <family val="2"/>
    </font>
    <font>
      <sz val="11"/>
      <color theme="2" tint="-9.9978637043366805E-2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9"/>
      <color theme="4" tint="-0.249977111117893"/>
      <name val="Calibri"/>
      <family val="2"/>
    </font>
    <font>
      <sz val="8"/>
      <color theme="0" tint="-0.499984740745262"/>
      <name val="Calibri"/>
      <family val="2"/>
    </font>
    <font>
      <sz val="9"/>
      <color rgb="FF00B050"/>
      <name val="Calibri"/>
      <family val="2"/>
    </font>
    <font>
      <sz val="8"/>
      <color rgb="FF00B050"/>
      <name val="Calibri"/>
      <family val="2"/>
    </font>
    <font>
      <sz val="9"/>
      <color rgb="FF3D82ED"/>
      <name val="Inherit"/>
    </font>
    <font>
      <sz val="9"/>
      <name val="Inherit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0"/>
      <name val="Calibri"/>
      <family val="2"/>
    </font>
    <font>
      <sz val="9"/>
      <color rgb="FF0070C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16365C"/>
      <name val="Sora"/>
    </font>
    <font>
      <b/>
      <sz val="9"/>
      <name val="Sora"/>
    </font>
    <font>
      <b/>
      <sz val="12"/>
      <color theme="0"/>
      <name val="Sora"/>
    </font>
    <font>
      <sz val="9"/>
      <name val="Sora"/>
    </font>
    <font>
      <b/>
      <sz val="12"/>
      <color rgb="FFFFFFFF"/>
      <name val="Sora"/>
    </font>
    <font>
      <sz val="9"/>
      <color rgb="FF16365C"/>
      <name val="Sora"/>
    </font>
    <font>
      <sz val="8"/>
      <color rgb="FF111111"/>
      <name val="Sora"/>
    </font>
    <font>
      <sz val="9"/>
      <color rgb="FF111111"/>
      <name val="Sora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02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888888"/>
        <bgColor indexed="64"/>
      </patternFill>
    </fill>
    <fill>
      <patternFill patternType="solid">
        <fgColor rgb="FF3D82E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5050"/>
        <bgColor rgb="FF000000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6666"/>
      </left>
      <right/>
      <top style="medium">
        <color rgb="FF363636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666666"/>
      </left>
      <right style="medium">
        <color rgb="FF666666"/>
      </right>
      <top style="medium">
        <color rgb="FF333333"/>
      </top>
      <bottom style="medium">
        <color rgb="FF333333"/>
      </bottom>
      <diagonal/>
    </border>
    <border>
      <left style="medium">
        <color rgb="FF666666"/>
      </left>
      <right/>
      <top style="medium">
        <color rgb="FF333333"/>
      </top>
      <bottom style="medium">
        <color rgb="FF333333"/>
      </bottom>
      <diagonal/>
    </border>
    <border>
      <left style="medium">
        <color rgb="FF666666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666666"/>
      </left>
      <right style="medium">
        <color rgb="FF666666"/>
      </right>
      <top style="medium">
        <color rgb="FF363636"/>
      </top>
      <bottom style="medium">
        <color rgb="FF666666"/>
      </bottom>
      <diagonal/>
    </border>
    <border>
      <left style="medium">
        <color rgb="FF666666"/>
      </left>
      <right style="medium">
        <color rgb="FF333333"/>
      </right>
      <top style="medium">
        <color rgb="FF363636"/>
      </top>
      <bottom/>
      <diagonal/>
    </border>
    <border>
      <left style="medium">
        <color rgb="FF666666"/>
      </left>
      <right style="medium">
        <color rgb="FF333333"/>
      </right>
      <top/>
      <bottom/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thin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 style="medium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thin">
        <color rgb="FF333333"/>
      </top>
      <bottom style="medium">
        <color rgb="FF333333"/>
      </bottom>
      <diagonal/>
    </border>
    <border>
      <left style="thin">
        <color rgb="FF333333"/>
      </left>
      <right style="medium">
        <color rgb="FF666666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666666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666666"/>
      </right>
      <top style="thin">
        <color rgb="FF333333"/>
      </top>
      <bottom style="medium">
        <color rgb="FF333333"/>
      </bottom>
      <diagonal/>
    </border>
    <border>
      <left style="medium">
        <color rgb="FF666666"/>
      </left>
      <right style="medium">
        <color rgb="FF666666"/>
      </right>
      <top style="medium">
        <color rgb="FF333333"/>
      </top>
      <bottom/>
      <diagonal/>
    </border>
    <border>
      <left style="medium">
        <color rgb="FF666666"/>
      </left>
      <right style="medium">
        <color rgb="FF666666"/>
      </right>
      <top style="medium">
        <color rgb="FF363636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63636"/>
      </top>
      <bottom/>
      <diagonal/>
    </border>
    <border>
      <left style="medium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medium">
        <color rgb="FF666666"/>
      </right>
      <top/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33333"/>
      </left>
      <right/>
      <top style="thin">
        <color rgb="FF333333"/>
      </top>
      <bottom style="medium">
        <color rgb="FF333333"/>
      </bottom>
      <diagonal/>
    </border>
    <border>
      <left/>
      <right style="medium">
        <color rgb="FF666666"/>
      </right>
      <top style="medium">
        <color rgb="FF333333"/>
      </top>
      <bottom/>
      <diagonal/>
    </border>
    <border>
      <left style="medium">
        <color rgb="FF666666"/>
      </left>
      <right/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/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72">
    <xf numFmtId="0" fontId="0" fillId="0" borderId="0" xfId="0"/>
    <xf numFmtId="0" fontId="3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0" fillId="7" borderId="0" xfId="0" applyFont="1" applyFill="1"/>
    <xf numFmtId="0" fontId="10" fillId="9" borderId="0" xfId="0" applyFont="1" applyFill="1" applyAlignment="1">
      <alignment wrapText="1"/>
    </xf>
    <xf numFmtId="0" fontId="11" fillId="8" borderId="0" xfId="0" applyFont="1" applyFill="1"/>
    <xf numFmtId="0" fontId="7" fillId="7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Continuous"/>
    </xf>
    <xf numFmtId="0" fontId="6" fillId="13" borderId="0" xfId="0" applyFont="1" applyFill="1" applyAlignment="1">
      <alignment horizontal="center"/>
    </xf>
    <xf numFmtId="9" fontId="0" fillId="0" borderId="0" xfId="1" applyFont="1"/>
    <xf numFmtId="9" fontId="13" fillId="0" borderId="0" xfId="1" applyFont="1"/>
    <xf numFmtId="0" fontId="6" fillId="11" borderId="0" xfId="0" applyFont="1" applyFill="1" applyAlignment="1">
      <alignment horizontal="centerContinuous"/>
    </xf>
    <xf numFmtId="0" fontId="6" fillId="11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12" borderId="20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9" fontId="7" fillId="12" borderId="19" xfId="1" applyFont="1" applyFill="1" applyBorder="1" applyAlignment="1">
      <alignment horizontal="center"/>
    </xf>
    <xf numFmtId="0" fontId="14" fillId="12" borderId="20" xfId="0" applyFont="1" applyFill="1" applyBorder="1" applyAlignment="1">
      <alignment horizontal="center"/>
    </xf>
    <xf numFmtId="0" fontId="14" fillId="12" borderId="21" xfId="0" applyFont="1" applyFill="1" applyBorder="1" applyAlignment="1">
      <alignment horizontal="center"/>
    </xf>
    <xf numFmtId="9" fontId="14" fillId="12" borderId="19" xfId="1" applyFont="1" applyFill="1" applyBorder="1" applyAlignment="1">
      <alignment horizontal="center"/>
    </xf>
    <xf numFmtId="0" fontId="14" fillId="12" borderId="19" xfId="0" applyFont="1" applyFill="1" applyBorder="1" applyAlignment="1">
      <alignment horizontal="center"/>
    </xf>
    <xf numFmtId="0" fontId="7" fillId="12" borderId="19" xfId="0" applyFont="1" applyFill="1" applyBorder="1" applyAlignment="1">
      <alignment horizontal="center"/>
    </xf>
    <xf numFmtId="0" fontId="6" fillId="3" borderId="0" xfId="0" applyFont="1" applyFill="1" applyAlignment="1">
      <alignment horizontal="centerContinuous"/>
    </xf>
    <xf numFmtId="0" fontId="7" fillId="11" borderId="0" xfId="0" applyFont="1" applyFill="1" applyAlignment="1">
      <alignment horizontal="center"/>
    </xf>
    <xf numFmtId="0" fontId="14" fillId="15" borderId="0" xfId="0" applyFont="1" applyFill="1" applyBorder="1" applyAlignment="1">
      <alignment horizontal="center"/>
    </xf>
    <xf numFmtId="9" fontId="14" fillId="15" borderId="19" xfId="1" applyFont="1" applyFill="1" applyBorder="1" applyAlignment="1">
      <alignment horizontal="center"/>
    </xf>
    <xf numFmtId="0" fontId="2" fillId="17" borderId="0" xfId="0" applyFont="1" applyFill="1"/>
    <xf numFmtId="0" fontId="14" fillId="17" borderId="0" xfId="0" applyFont="1" applyFill="1" applyAlignment="1">
      <alignment horizontal="centerContinuous"/>
    </xf>
    <xf numFmtId="0" fontId="2" fillId="18" borderId="0" xfId="0" applyFont="1" applyFill="1" applyAlignment="1">
      <alignment horizontal="centerContinuous"/>
    </xf>
    <xf numFmtId="0" fontId="2" fillId="18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7" fillId="17" borderId="0" xfId="0" applyFont="1" applyFill="1" applyAlignment="1">
      <alignment vertical="center"/>
    </xf>
    <xf numFmtId="0" fontId="7" fillId="16" borderId="0" xfId="0" applyFont="1" applyFill="1" applyAlignment="1">
      <alignment horizontal="center"/>
    </xf>
    <xf numFmtId="164" fontId="7" fillId="16" borderId="0" xfId="1" applyNumberFormat="1" applyFont="1" applyFill="1" applyAlignment="1">
      <alignment horizontal="center"/>
    </xf>
    <xf numFmtId="0" fontId="6" fillId="8" borderId="0" xfId="0" applyFont="1" applyFill="1" applyAlignment="1">
      <alignment vertical="center"/>
    </xf>
    <xf numFmtId="0" fontId="7" fillId="18" borderId="0" xfId="0" applyFont="1" applyFill="1" applyAlignment="1">
      <alignment vertical="center"/>
    </xf>
    <xf numFmtId="0" fontId="7" fillId="8" borderId="0" xfId="0" applyFont="1" applyFill="1"/>
    <xf numFmtId="164" fontId="6" fillId="16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>
      <alignment horizontal="left"/>
    </xf>
    <xf numFmtId="0" fontId="0" fillId="19" borderId="0" xfId="0" applyFill="1" applyAlignment="1">
      <alignment horizontal="center"/>
    </xf>
    <xf numFmtId="10" fontId="0" fillId="19" borderId="0" xfId="1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10" fontId="0" fillId="8" borderId="0" xfId="1" applyNumberFormat="1" applyFont="1" applyFill="1" applyAlignment="1">
      <alignment horizontal="center"/>
    </xf>
    <xf numFmtId="0" fontId="7" fillId="16" borderId="0" xfId="0" applyFont="1" applyFill="1" applyAlignment="1">
      <alignment horizontal="centerContinuous"/>
    </xf>
    <xf numFmtId="164" fontId="0" fillId="0" borderId="0" xfId="1" applyNumberFormat="1" applyFont="1"/>
    <xf numFmtId="0" fontId="2" fillId="22" borderId="0" xfId="0" applyFont="1" applyFill="1" applyAlignment="1">
      <alignment horizontal="centerContinuous"/>
    </xf>
    <xf numFmtId="0" fontId="14" fillId="10" borderId="0" xfId="0" applyFont="1" applyFill="1" applyAlignment="1">
      <alignment horizontal="centerContinuous"/>
    </xf>
    <xf numFmtId="0" fontId="14" fillId="10" borderId="0" xfId="0" applyFont="1" applyFill="1" applyAlignment="1">
      <alignment horizontal="center" vertical="center"/>
    </xf>
    <xf numFmtId="0" fontId="2" fillId="22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1" applyNumberFormat="1" applyFont="1" applyFill="1" applyAlignment="1">
      <alignment horizontal="center" vertical="center"/>
    </xf>
    <xf numFmtId="9" fontId="2" fillId="9" borderId="0" xfId="1" applyFont="1" applyFill="1" applyAlignment="1">
      <alignment horizontal="center" vertical="center"/>
    </xf>
    <xf numFmtId="164" fontId="2" fillId="22" borderId="0" xfId="1" applyNumberFormat="1" applyFont="1" applyFill="1" applyAlignment="1">
      <alignment horizontal="center" vertical="center"/>
    </xf>
    <xf numFmtId="9" fontId="2" fillId="22" borderId="0" xfId="1" applyFont="1" applyFill="1" applyAlignment="1">
      <alignment horizontal="center" vertical="center"/>
    </xf>
    <xf numFmtId="0" fontId="0" fillId="2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17" fillId="24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0" fontId="18" fillId="0" borderId="0" xfId="0" applyFont="1"/>
    <xf numFmtId="0" fontId="14" fillId="11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14" fillId="12" borderId="0" xfId="0" applyFont="1" applyFill="1" applyAlignment="1">
      <alignment horizontal="center" vertical="center"/>
    </xf>
    <xf numFmtId="0" fontId="14" fillId="2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3" borderId="0" xfId="0" applyFont="1" applyFill="1" applyAlignment="1">
      <alignment horizontal="centerContinuous"/>
    </xf>
    <xf numFmtId="0" fontId="14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14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26" borderId="0" xfId="0" applyFont="1" applyFill="1" applyAlignment="1">
      <alignment horizontal="center"/>
    </xf>
    <xf numFmtId="0" fontId="2" fillId="16" borderId="0" xfId="0" applyFont="1" applyFill="1" applyAlignment="1">
      <alignment horizontal="left"/>
    </xf>
    <xf numFmtId="0" fontId="2" fillId="26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10" fontId="0" fillId="0" borderId="0" xfId="1" applyNumberFormat="1" applyFont="1"/>
    <xf numFmtId="0" fontId="2" fillId="27" borderId="0" xfId="0" applyFont="1" applyFill="1"/>
    <xf numFmtId="0" fontId="2" fillId="27" borderId="0" xfId="0" applyFont="1" applyFill="1" applyAlignment="1">
      <alignment horizontal="center" vertical="center"/>
    </xf>
    <xf numFmtId="0" fontId="2" fillId="27" borderId="0" xfId="0" applyFont="1" applyFill="1" applyAlignment="1">
      <alignment horizontal="center" vertical="center" wrapText="1"/>
    </xf>
    <xf numFmtId="0" fontId="2" fillId="16" borderId="0" xfId="0" applyFont="1" applyFill="1"/>
    <xf numFmtId="10" fontId="2" fillId="16" borderId="0" xfId="1" applyNumberFormat="1" applyFont="1" applyFill="1"/>
    <xf numFmtId="0" fontId="2" fillId="16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10" fontId="2" fillId="14" borderId="0" xfId="1" applyNumberFormat="1" applyFont="1" applyFill="1"/>
    <xf numFmtId="0" fontId="2" fillId="14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6" fillId="28" borderId="21" xfId="0" applyFont="1" applyFill="1" applyBorder="1" applyAlignment="1">
      <alignment horizontal="center"/>
    </xf>
    <xf numFmtId="44" fontId="0" fillId="0" borderId="21" xfId="3" applyFont="1" applyBorder="1"/>
    <xf numFmtId="44" fontId="2" fillId="14" borderId="21" xfId="3" applyFont="1" applyFill="1" applyBorder="1"/>
    <xf numFmtId="0" fontId="6" fillId="14" borderId="21" xfId="0" applyFont="1" applyFill="1" applyBorder="1"/>
    <xf numFmtId="0" fontId="6" fillId="28" borderId="21" xfId="0" applyFont="1" applyFill="1" applyBorder="1" applyAlignment="1">
      <alignment horizontal="center" wrapText="1"/>
    </xf>
    <xf numFmtId="0" fontId="6" fillId="14" borderId="21" xfId="0" applyFont="1" applyFill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2" fillId="14" borderId="21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6" fillId="29" borderId="21" xfId="0" applyFont="1" applyFill="1" applyBorder="1" applyAlignment="1">
      <alignment horizontal="center"/>
    </xf>
    <xf numFmtId="0" fontId="6" fillId="16" borderId="21" xfId="0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29" borderId="21" xfId="0" applyFont="1" applyFill="1" applyBorder="1" applyAlignment="1">
      <alignment horizontal="center" vertical="center" wrapText="1"/>
    </xf>
    <xf numFmtId="0" fontId="6" fillId="16" borderId="21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left" vertical="center" wrapText="1"/>
    </xf>
    <xf numFmtId="44" fontId="6" fillId="16" borderId="21" xfId="3" applyFont="1" applyFill="1" applyBorder="1" applyAlignment="1">
      <alignment horizontal="center"/>
    </xf>
    <xf numFmtId="0" fontId="6" fillId="29" borderId="9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44" fontId="6" fillId="16" borderId="21" xfId="3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13" fillId="0" borderId="0" xfId="0" applyNumberFormat="1" applyFont="1"/>
    <xf numFmtId="0" fontId="20" fillId="30" borderId="24" xfId="0" applyFont="1" applyFill="1" applyBorder="1" applyAlignment="1">
      <alignment horizontal="center" vertical="center" wrapText="1"/>
    </xf>
    <xf numFmtId="0" fontId="19" fillId="32" borderId="24" xfId="0" applyFont="1" applyFill="1" applyBorder="1" applyAlignment="1">
      <alignment horizontal="left" vertical="center"/>
    </xf>
    <xf numFmtId="0" fontId="19" fillId="32" borderId="27" xfId="0" applyFont="1" applyFill="1" applyBorder="1" applyAlignment="1">
      <alignment horizontal="left" vertical="center"/>
    </xf>
    <xf numFmtId="0" fontId="19" fillId="32" borderId="28" xfId="0" applyFont="1" applyFill="1" applyBorder="1" applyAlignment="1">
      <alignment horizontal="left" vertical="center"/>
    </xf>
    <xf numFmtId="0" fontId="19" fillId="32" borderId="29" xfId="0" applyFont="1" applyFill="1" applyBorder="1" applyAlignment="1">
      <alignment horizontal="left" vertical="center"/>
    </xf>
    <xf numFmtId="0" fontId="19" fillId="32" borderId="25" xfId="0" applyFont="1" applyFill="1" applyBorder="1" applyAlignment="1">
      <alignment horizontal="left" vertical="center"/>
    </xf>
    <xf numFmtId="0" fontId="20" fillId="30" borderId="26" xfId="0" applyFont="1" applyFill="1" applyBorder="1" applyAlignment="1">
      <alignment horizontal="center" vertical="center" wrapText="1"/>
    </xf>
    <xf numFmtId="3" fontId="20" fillId="31" borderId="30" xfId="0" applyNumberFormat="1" applyFont="1" applyFill="1" applyBorder="1" applyAlignment="1">
      <alignment horizontal="right" vertical="center"/>
    </xf>
    <xf numFmtId="0" fontId="20" fillId="30" borderId="26" xfId="0" applyFont="1" applyFill="1" applyBorder="1" applyAlignment="1">
      <alignment horizontal="center" vertical="center" wrapText="1"/>
    </xf>
    <xf numFmtId="3" fontId="20" fillId="31" borderId="26" xfId="0" applyNumberFormat="1" applyFont="1" applyFill="1" applyBorder="1" applyAlignment="1">
      <alignment horizontal="right" vertical="center"/>
    </xf>
    <xf numFmtId="3" fontId="20" fillId="31" borderId="32" xfId="0" applyNumberFormat="1" applyFont="1" applyFill="1" applyBorder="1" applyAlignment="1">
      <alignment horizontal="right" vertical="center"/>
    </xf>
    <xf numFmtId="0" fontId="19" fillId="30" borderId="26" xfId="0" applyFont="1" applyFill="1" applyBorder="1" applyAlignment="1">
      <alignment horizontal="center" vertical="center" wrapText="1"/>
    </xf>
    <xf numFmtId="0" fontId="19" fillId="30" borderId="24" xfId="0" applyFont="1" applyFill="1" applyBorder="1" applyAlignment="1">
      <alignment horizontal="center" vertical="center" wrapText="1"/>
    </xf>
    <xf numFmtId="0" fontId="19" fillId="32" borderId="27" xfId="0" applyFont="1" applyFill="1" applyBorder="1" applyAlignment="1">
      <alignment horizontal="center" vertical="center"/>
    </xf>
    <xf numFmtId="0" fontId="19" fillId="32" borderId="26" xfId="0" applyFont="1" applyFill="1" applyBorder="1" applyAlignment="1">
      <alignment horizontal="center" vertical="center"/>
    </xf>
    <xf numFmtId="0" fontId="19" fillId="32" borderId="31" xfId="0" applyFont="1" applyFill="1" applyBorder="1" applyAlignment="1">
      <alignment horizontal="center" vertical="center"/>
    </xf>
    <xf numFmtId="3" fontId="20" fillId="31" borderId="33" xfId="0" applyNumberFormat="1" applyFont="1" applyFill="1" applyBorder="1" applyAlignment="1">
      <alignment horizontal="right" vertical="center"/>
    </xf>
    <xf numFmtId="3" fontId="20" fillId="31" borderId="34" xfId="0" applyNumberFormat="1" applyFont="1" applyFill="1" applyBorder="1" applyAlignment="1">
      <alignment horizontal="right" vertical="center"/>
    </xf>
    <xf numFmtId="3" fontId="20" fillId="31" borderId="35" xfId="0" applyNumberFormat="1" applyFont="1" applyFill="1" applyBorder="1" applyAlignment="1">
      <alignment horizontal="right" vertical="center"/>
    </xf>
    <xf numFmtId="9" fontId="19" fillId="32" borderId="27" xfId="1" applyFont="1" applyFill="1" applyBorder="1" applyAlignment="1">
      <alignment horizontal="center" vertical="center"/>
    </xf>
    <xf numFmtId="3" fontId="20" fillId="31" borderId="36" xfId="0" applyNumberFormat="1" applyFont="1" applyFill="1" applyBorder="1" applyAlignment="1">
      <alignment horizontal="right" vertical="center"/>
    </xf>
    <xf numFmtId="3" fontId="20" fillId="31" borderId="37" xfId="0" applyNumberFormat="1" applyFont="1" applyFill="1" applyBorder="1" applyAlignment="1">
      <alignment horizontal="right" vertical="center"/>
    </xf>
    <xf numFmtId="9" fontId="19" fillId="32" borderId="26" xfId="1" applyFont="1" applyFill="1" applyBorder="1" applyAlignment="1">
      <alignment horizontal="center" vertical="center"/>
    </xf>
    <xf numFmtId="0" fontId="19" fillId="32" borderId="26" xfId="0" applyFont="1" applyFill="1" applyBorder="1" applyAlignment="1">
      <alignment horizontal="left" vertical="center"/>
    </xf>
    <xf numFmtId="0" fontId="19" fillId="32" borderId="31" xfId="0" applyFont="1" applyFill="1" applyBorder="1" applyAlignment="1">
      <alignment horizontal="left" vertical="center"/>
    </xf>
    <xf numFmtId="0" fontId="20" fillId="30" borderId="31" xfId="0" applyFont="1" applyFill="1" applyBorder="1" applyAlignment="1">
      <alignment horizontal="center" vertical="center" wrapText="1"/>
    </xf>
    <xf numFmtId="0" fontId="19" fillId="32" borderId="27" xfId="0" applyNumberFormat="1" applyFont="1" applyFill="1" applyBorder="1" applyAlignment="1">
      <alignment horizontal="center" vertical="center"/>
    </xf>
    <xf numFmtId="0" fontId="19" fillId="32" borderId="26" xfId="0" applyFont="1" applyFill="1" applyBorder="1" applyAlignment="1">
      <alignment horizontal="center" vertical="center" wrapText="1"/>
    </xf>
    <xf numFmtId="0" fontId="19" fillId="30" borderId="31" xfId="0" applyFont="1" applyFill="1" applyBorder="1" applyAlignment="1">
      <alignment horizontal="centerContinuous" vertical="center" wrapText="1"/>
    </xf>
    <xf numFmtId="0" fontId="19" fillId="30" borderId="31" xfId="0" applyFont="1" applyFill="1" applyBorder="1" applyAlignment="1">
      <alignment horizontal="center" vertical="center" wrapText="1"/>
    </xf>
    <xf numFmtId="3" fontId="20" fillId="31" borderId="26" xfId="0" applyNumberFormat="1" applyFont="1" applyFill="1" applyBorder="1" applyAlignment="1">
      <alignment horizontal="center" vertical="center"/>
    </xf>
    <xf numFmtId="0" fontId="17" fillId="0" borderId="0" xfId="0" applyFont="1"/>
    <xf numFmtId="0" fontId="19" fillId="30" borderId="26" xfId="0" applyFont="1" applyFill="1" applyBorder="1" applyAlignment="1">
      <alignment horizontal="centerContinuous" vertical="center" wrapText="1"/>
    </xf>
    <xf numFmtId="3" fontId="19" fillId="31" borderId="26" xfId="0" applyNumberFormat="1" applyFont="1" applyFill="1" applyBorder="1" applyAlignment="1">
      <alignment horizontal="center" vertical="center"/>
    </xf>
    <xf numFmtId="3" fontId="20" fillId="31" borderId="23" xfId="0" applyNumberFormat="1" applyFont="1" applyFill="1" applyBorder="1" applyAlignment="1">
      <alignment horizontal="center" vertical="center"/>
    </xf>
    <xf numFmtId="3" fontId="20" fillId="31" borderId="33" xfId="0" applyNumberFormat="1" applyFont="1" applyFill="1" applyBorder="1" applyAlignment="1">
      <alignment horizontal="center" vertical="center"/>
    </xf>
    <xf numFmtId="3" fontId="20" fillId="31" borderId="35" xfId="0" applyNumberFormat="1" applyFont="1" applyFill="1" applyBorder="1" applyAlignment="1">
      <alignment horizontal="center" vertical="center"/>
    </xf>
    <xf numFmtId="3" fontId="20" fillId="31" borderId="32" xfId="0" applyNumberFormat="1" applyFont="1" applyFill="1" applyBorder="1" applyAlignment="1">
      <alignment horizontal="center" vertical="center"/>
    </xf>
    <xf numFmtId="0" fontId="19" fillId="32" borderId="27" xfId="0" applyFont="1" applyFill="1" applyBorder="1" applyAlignment="1">
      <alignment horizontal="centerContinuous" vertical="center"/>
    </xf>
    <xf numFmtId="0" fontId="19" fillId="30" borderId="38" xfId="0" applyFont="1" applyFill="1" applyBorder="1" applyAlignment="1">
      <alignment horizontal="centerContinuous" vertical="center" wrapText="1"/>
    </xf>
    <xf numFmtId="0" fontId="0" fillId="0" borderId="45" xfId="0" applyBorder="1" applyAlignment="1">
      <alignment horizontal="centerContinuous"/>
    </xf>
    <xf numFmtId="0" fontId="0" fillId="0" borderId="46" xfId="0" applyBorder="1" applyAlignment="1">
      <alignment horizontal="centerContinuous"/>
    </xf>
    <xf numFmtId="0" fontId="0" fillId="0" borderId="47" xfId="0" applyBorder="1" applyAlignment="1">
      <alignment horizontal="centerContinuous"/>
    </xf>
    <xf numFmtId="0" fontId="0" fillId="0" borderId="48" xfId="0" applyBorder="1" applyAlignment="1">
      <alignment horizontal="centerContinuous"/>
    </xf>
    <xf numFmtId="0" fontId="19" fillId="32" borderId="38" xfId="0" applyFont="1" applyFill="1" applyBorder="1" applyAlignment="1">
      <alignment horizontal="centerContinuous" vertical="center"/>
    </xf>
    <xf numFmtId="0" fontId="19" fillId="32" borderId="31" xfId="0" applyFont="1" applyFill="1" applyBorder="1" applyAlignment="1">
      <alignment horizontal="centerContinuous" vertical="center"/>
    </xf>
    <xf numFmtId="0" fontId="0" fillId="0" borderId="3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3" fontId="20" fillId="31" borderId="55" xfId="0" applyNumberFormat="1" applyFont="1" applyFill="1" applyBorder="1" applyAlignment="1">
      <alignment horizontal="center" vertical="center"/>
    </xf>
    <xf numFmtId="3" fontId="20" fillId="31" borderId="56" xfId="0" applyNumberFormat="1" applyFont="1" applyFill="1" applyBorder="1" applyAlignment="1">
      <alignment horizontal="center" vertical="center"/>
    </xf>
    <xf numFmtId="3" fontId="19" fillId="31" borderId="26" xfId="0" applyNumberFormat="1" applyFont="1" applyFill="1" applyBorder="1" applyAlignment="1">
      <alignment horizontal="centerContinuous" vertical="center"/>
    </xf>
    <xf numFmtId="0" fontId="21" fillId="0" borderId="0" xfId="0" applyFont="1"/>
    <xf numFmtId="0" fontId="6" fillId="14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7" fillId="18" borderId="0" xfId="0" applyFont="1" applyFill="1" applyAlignment="1">
      <alignment horizontal="right" vertical="center"/>
    </xf>
    <xf numFmtId="0" fontId="7" fillId="8" borderId="0" xfId="0" applyFont="1" applyFill="1" applyAlignment="1">
      <alignment horizontal="right"/>
    </xf>
    <xf numFmtId="0" fontId="6" fillId="17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6" fillId="18" borderId="0" xfId="0" applyFont="1" applyFill="1" applyAlignment="1">
      <alignment horizontal="left"/>
    </xf>
    <xf numFmtId="0" fontId="13" fillId="19" borderId="0" xfId="0" applyFont="1" applyFill="1" applyAlignment="1">
      <alignment horizontal="left"/>
    </xf>
    <xf numFmtId="0" fontId="6" fillId="16" borderId="0" xfId="0" applyFont="1" applyFill="1" applyAlignment="1">
      <alignment horizontal="centerContinuous"/>
    </xf>
    <xf numFmtId="0" fontId="6" fillId="11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2" fillId="18" borderId="0" xfId="0" applyFont="1" applyFill="1" applyAlignment="1">
      <alignment horizontal="right"/>
    </xf>
    <xf numFmtId="0" fontId="7" fillId="20" borderId="0" xfId="0" applyFont="1" applyFill="1" applyAlignment="1">
      <alignment horizontal="right"/>
    </xf>
    <xf numFmtId="0" fontId="6" fillId="14" borderId="0" xfId="0" applyFont="1" applyFill="1" applyAlignment="1">
      <alignment horizontal="right"/>
    </xf>
    <xf numFmtId="0" fontId="7" fillId="14" borderId="0" xfId="0" applyFont="1" applyFill="1" applyAlignment="1">
      <alignment horizontal="right"/>
    </xf>
    <xf numFmtId="0" fontId="14" fillId="11" borderId="0" xfId="0" applyFont="1" applyFill="1" applyAlignment="1">
      <alignment horizontal="center"/>
    </xf>
    <xf numFmtId="0" fontId="2" fillId="16" borderId="0" xfId="0" applyFont="1" applyFill="1" applyAlignment="1">
      <alignment horizontal="left"/>
    </xf>
    <xf numFmtId="0" fontId="6" fillId="29" borderId="21" xfId="0" applyFont="1" applyFill="1" applyBorder="1" applyAlignment="1">
      <alignment horizontal="centerContinuous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4" fillId="11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6" fillId="28" borderId="21" xfId="0" applyFont="1" applyFill="1" applyBorder="1" applyAlignment="1">
      <alignment horizontal="center"/>
    </xf>
    <xf numFmtId="0" fontId="2" fillId="26" borderId="21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16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/>
    </xf>
    <xf numFmtId="0" fontId="2" fillId="27" borderId="0" xfId="0" applyFont="1" applyFill="1" applyAlignment="1">
      <alignment horizontal="center" vertical="center" wrapText="1"/>
    </xf>
    <xf numFmtId="0" fontId="0" fillId="0" borderId="0" xfId="0" applyBorder="1"/>
    <xf numFmtId="0" fontId="2" fillId="33" borderId="0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centerContinuous" wrapText="1"/>
    </xf>
    <xf numFmtId="0" fontId="2" fillId="26" borderId="0" xfId="0" applyFont="1" applyFill="1" applyBorder="1" applyAlignment="1">
      <alignment horizontal="center" wrapText="1"/>
    </xf>
    <xf numFmtId="0" fontId="2" fillId="12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2" fillId="12" borderId="0" xfId="0" applyFont="1" applyFill="1" applyBorder="1" applyAlignment="1">
      <alignment horizontal="centerContinuous"/>
    </xf>
    <xf numFmtId="44" fontId="0" fillId="0" borderId="0" xfId="3" applyFont="1" applyBorder="1"/>
    <xf numFmtId="0" fontId="2" fillId="26" borderId="0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11" borderId="0" xfId="0" applyFont="1" applyFill="1" applyBorder="1"/>
    <xf numFmtId="0" fontId="12" fillId="0" borderId="0" xfId="0" applyFont="1" applyBorder="1"/>
    <xf numFmtId="0" fontId="2" fillId="26" borderId="0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left"/>
    </xf>
    <xf numFmtId="0" fontId="6" fillId="28" borderId="19" xfId="0" applyFont="1" applyFill="1" applyBorder="1" applyAlignment="1">
      <alignment horizontal="centerContinuous"/>
    </xf>
    <xf numFmtId="0" fontId="6" fillId="28" borderId="20" xfId="0" applyFont="1" applyFill="1" applyBorder="1" applyAlignment="1">
      <alignment horizontal="centerContinuous"/>
    </xf>
    <xf numFmtId="0" fontId="6" fillId="28" borderId="22" xfId="0" applyFont="1" applyFill="1" applyBorder="1" applyAlignment="1">
      <alignment horizontal="centerContinuous"/>
    </xf>
    <xf numFmtId="0" fontId="6" fillId="28" borderId="8" xfId="0" applyFont="1" applyFill="1" applyBorder="1" applyAlignment="1">
      <alignment horizontal="center"/>
    </xf>
    <xf numFmtId="44" fontId="0" fillId="0" borderId="21" xfId="3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16" borderId="0" xfId="1" applyNumberFormat="1" applyFont="1" applyFill="1" applyAlignment="1">
      <alignment horizontal="center"/>
    </xf>
    <xf numFmtId="0" fontId="2" fillId="27" borderId="0" xfId="0" applyFont="1" applyFill="1" applyAlignment="1">
      <alignment horizontal="center"/>
    </xf>
    <xf numFmtId="10" fontId="2" fillId="14" borderId="0" xfId="1" applyNumberFormat="1" applyFont="1" applyFill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19" fillId="32" borderId="27" xfId="0" applyFont="1" applyFill="1" applyBorder="1" applyAlignment="1">
      <alignment horizontal="center" vertical="center"/>
    </xf>
    <xf numFmtId="0" fontId="19" fillId="30" borderId="38" xfId="0" applyFont="1" applyFill="1" applyBorder="1" applyAlignment="1">
      <alignment horizontal="center" vertical="center" wrapText="1"/>
    </xf>
    <xf numFmtId="0" fontId="19" fillId="30" borderId="31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65" fontId="20" fillId="31" borderId="33" xfId="0" applyNumberFormat="1" applyFont="1" applyFill="1" applyBorder="1" applyAlignment="1">
      <alignment horizontal="center" vertical="center"/>
    </xf>
    <xf numFmtId="165" fontId="20" fillId="31" borderId="35" xfId="0" applyNumberFormat="1" applyFont="1" applyFill="1" applyBorder="1" applyAlignment="1">
      <alignment horizontal="center" vertical="center"/>
    </xf>
    <xf numFmtId="165" fontId="20" fillId="31" borderId="2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9" fillId="30" borderId="38" xfId="0" applyFont="1" applyFill="1" applyBorder="1" applyAlignment="1">
      <alignment vertic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19" fillId="30" borderId="2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11" borderId="0" xfId="0" applyFont="1" applyFill="1" applyAlignment="1">
      <alignment horizontal="center"/>
    </xf>
    <xf numFmtId="0" fontId="24" fillId="0" borderId="0" xfId="0" applyFont="1" applyBorder="1"/>
    <xf numFmtId="0" fontId="0" fillId="0" borderId="0" xfId="0" applyAlignment="1">
      <alignment wrapText="1"/>
    </xf>
    <xf numFmtId="164" fontId="2" fillId="0" borderId="0" xfId="1" applyNumberFormat="1" applyFont="1"/>
    <xf numFmtId="0" fontId="2" fillId="0" borderId="0" xfId="0" applyFont="1"/>
    <xf numFmtId="0" fontId="14" fillId="3" borderId="0" xfId="0" applyFont="1" applyFill="1" applyAlignment="1">
      <alignment horizontal="center"/>
    </xf>
    <xf numFmtId="164" fontId="14" fillId="12" borderId="0" xfId="1" applyNumberFormat="1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Continuous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25" fillId="0" borderId="0" xfId="0" applyNumberFormat="1" applyFont="1"/>
    <xf numFmtId="0" fontId="19" fillId="32" borderId="2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0" fontId="13" fillId="2" borderId="0" xfId="1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0" fontId="7" fillId="6" borderId="0" xfId="1" applyNumberFormat="1" applyFont="1" applyFill="1" applyAlignment="1">
      <alignment horizontal="center" vertical="center"/>
    </xf>
    <xf numFmtId="0" fontId="19" fillId="30" borderId="27" xfId="0" applyFont="1" applyFill="1" applyBorder="1" applyAlignment="1">
      <alignment horizontal="centerContinuous" vertical="center" wrapText="1"/>
    </xf>
    <xf numFmtId="0" fontId="24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166" fontId="29" fillId="0" borderId="65" xfId="0" applyNumberFormat="1" applyFont="1" applyBorder="1" applyAlignment="1">
      <alignment vertical="center"/>
    </xf>
    <xf numFmtId="0" fontId="28" fillId="0" borderId="0" xfId="0" applyFont="1" applyFill="1" applyAlignment="1">
      <alignment vertical="center"/>
    </xf>
    <xf numFmtId="167" fontId="30" fillId="0" borderId="67" xfId="0" applyNumberFormat="1" applyFont="1" applyBorder="1" applyAlignment="1">
      <alignment horizontal="center" vertical="center"/>
    </xf>
    <xf numFmtId="167" fontId="28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19" fillId="32" borderId="0" xfId="0" applyFont="1" applyFill="1" applyBorder="1" applyAlignment="1">
      <alignment horizontal="centerContinuous" vertical="center"/>
    </xf>
    <xf numFmtId="0" fontId="19" fillId="32" borderId="0" xfId="0" applyFont="1" applyFill="1" applyBorder="1" applyAlignment="1">
      <alignment horizontal="centerContinuous" vertical="center" wrapText="1"/>
    </xf>
    <xf numFmtId="44" fontId="19" fillId="32" borderId="0" xfId="3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31" fillId="34" borderId="68" xfId="0" applyFont="1" applyFill="1" applyBorder="1" applyAlignment="1">
      <alignment horizontal="centerContinuous" vertical="center" wrapText="1"/>
    </xf>
    <xf numFmtId="0" fontId="27" fillId="34" borderId="68" xfId="0" applyFont="1" applyFill="1" applyBorder="1" applyAlignment="1">
      <alignment horizontal="centerContinuous" vertical="center" wrapText="1"/>
    </xf>
    <xf numFmtId="0" fontId="0" fillId="34" borderId="68" xfId="0" applyFill="1" applyBorder="1" applyAlignment="1">
      <alignment horizontal="centerContinuous"/>
    </xf>
    <xf numFmtId="0" fontId="28" fillId="34" borderId="66" xfId="0" applyFont="1" applyFill="1" applyBorder="1" applyAlignment="1">
      <alignment horizontal="centerContinuous" vertical="center"/>
    </xf>
    <xf numFmtId="0" fontId="13" fillId="0" borderId="0" xfId="0" applyFont="1" applyAlignment="1"/>
    <xf numFmtId="3" fontId="32" fillId="0" borderId="26" xfId="0" applyNumberFormat="1" applyFont="1" applyFill="1" applyBorder="1" applyAlignment="1">
      <alignment horizontal="centerContinuous" vertical="center"/>
    </xf>
    <xf numFmtId="0" fontId="19" fillId="32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9" borderId="58" xfId="0" applyFont="1" applyFill="1" applyBorder="1" applyAlignment="1">
      <alignment horizontal="centerContinuous" vertical="center"/>
    </xf>
    <xf numFmtId="44" fontId="0" fillId="0" borderId="0" xfId="3" applyFont="1"/>
    <xf numFmtId="0" fontId="6" fillId="29" borderId="66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/>
    </xf>
    <xf numFmtId="0" fontId="13" fillId="0" borderId="0" xfId="0" quotePrefix="1" applyFont="1"/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9" fillId="30" borderId="0" xfId="0" applyFont="1" applyFill="1" applyBorder="1" applyAlignment="1">
      <alignment horizontal="center" vertical="center" wrapText="1"/>
    </xf>
    <xf numFmtId="3" fontId="20" fillId="31" borderId="0" xfId="0" applyNumberFormat="1" applyFont="1" applyFill="1" applyBorder="1" applyAlignment="1">
      <alignment horizontal="center" vertical="center"/>
    </xf>
    <xf numFmtId="0" fontId="7" fillId="35" borderId="0" xfId="0" applyFont="1" applyFill="1" applyBorder="1" applyAlignment="1">
      <alignment horizontal="center"/>
    </xf>
    <xf numFmtId="0" fontId="7" fillId="35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0" fontId="2" fillId="36" borderId="0" xfId="0" applyFont="1" applyFill="1" applyAlignment="1">
      <alignment horizontal="centerContinuous"/>
    </xf>
    <xf numFmtId="2" fontId="2" fillId="4" borderId="0" xfId="0" applyNumberFormat="1" applyFont="1" applyFill="1" applyAlignment="1">
      <alignment horizontal="center"/>
    </xf>
    <xf numFmtId="168" fontId="0" fillId="0" borderId="21" xfId="3" applyNumberFormat="1" applyFont="1" applyBorder="1"/>
    <xf numFmtId="168" fontId="2" fillId="14" borderId="21" xfId="3" applyNumberFormat="1" applyFont="1" applyFill="1" applyBorder="1"/>
    <xf numFmtId="168" fontId="0" fillId="0" borderId="21" xfId="3" applyNumberFormat="1" applyFont="1" applyFill="1" applyBorder="1" applyAlignment="1">
      <alignment horizontal="center"/>
    </xf>
    <xf numFmtId="168" fontId="0" fillId="0" borderId="21" xfId="3" applyNumberFormat="1" applyFont="1" applyBorder="1" applyAlignment="1">
      <alignment horizontal="center"/>
    </xf>
    <xf numFmtId="168" fontId="2" fillId="14" borderId="21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0" fontId="2" fillId="10" borderId="0" xfId="1" applyNumberFormat="1" applyFont="1" applyFill="1" applyBorder="1" applyAlignment="1">
      <alignment horizontal="center"/>
    </xf>
    <xf numFmtId="10" fontId="2" fillId="10" borderId="0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4" borderId="0" xfId="0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34" fillId="0" borderId="0" xfId="0" applyFont="1"/>
    <xf numFmtId="42" fontId="0" fillId="0" borderId="21" xfId="3" applyNumberFormat="1" applyFont="1" applyBorder="1"/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/>
    </xf>
    <xf numFmtId="0" fontId="0" fillId="0" borderId="21" xfId="0" applyBorder="1" applyAlignment="1">
      <alignment horizontal="centerContinuous" vertical="center" wrapText="1"/>
    </xf>
    <xf numFmtId="3" fontId="0" fillId="0" borderId="22" xfId="0" applyNumberFormat="1" applyBorder="1" applyAlignment="1">
      <alignment horizontal="centerContinuous"/>
    </xf>
    <xf numFmtId="6" fontId="0" fillId="0" borderId="21" xfId="0" applyNumberFormat="1" applyBorder="1" applyAlignment="1">
      <alignment horizontal="centerContinuous" vertical="center"/>
    </xf>
    <xf numFmtId="0" fontId="6" fillId="29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19" fillId="32" borderId="0" xfId="3" applyNumberFormat="1" applyFont="1" applyFill="1" applyBorder="1" applyAlignment="1">
      <alignment horizontal="centerContinuous" vertical="center"/>
    </xf>
    <xf numFmtId="166" fontId="19" fillId="32" borderId="0" xfId="3" applyNumberFormat="1" applyFont="1" applyFill="1" applyBorder="1" applyAlignment="1">
      <alignment horizontal="centerContinuous" vertical="center"/>
    </xf>
    <xf numFmtId="0" fontId="13" fillId="0" borderId="0" xfId="0" quotePrefix="1" applyFont="1" applyAlignment="1">
      <alignment wrapText="1"/>
    </xf>
    <xf numFmtId="9" fontId="0" fillId="0" borderId="21" xfId="0" applyNumberFormat="1" applyBorder="1" applyAlignment="1">
      <alignment horizontal="center" vertical="center"/>
    </xf>
    <xf numFmtId="9" fontId="6" fillId="16" borderId="21" xfId="1" applyFont="1" applyFill="1" applyBorder="1" applyAlignment="1">
      <alignment horizontal="center"/>
    </xf>
    <xf numFmtId="0" fontId="0" fillId="14" borderId="21" xfId="0" applyFill="1" applyBorder="1"/>
    <xf numFmtId="9" fontId="0" fillId="0" borderId="21" xfId="1" applyFont="1" applyBorder="1"/>
    <xf numFmtId="9" fontId="0" fillId="0" borderId="21" xfId="1" applyFont="1" applyBorder="1" applyAlignment="1">
      <alignment horizontal="center"/>
    </xf>
    <xf numFmtId="169" fontId="0" fillId="0" borderId="0" xfId="1" quotePrefix="1" applyNumberFormat="1" applyFont="1"/>
    <xf numFmtId="0" fontId="35" fillId="7" borderId="0" xfId="0" applyFont="1" applyFill="1" applyAlignment="1">
      <alignment horizontal="left"/>
    </xf>
    <xf numFmtId="0" fontId="35" fillId="7" borderId="0" xfId="0" applyFont="1" applyFill="1" applyAlignment="1">
      <alignment horizontal="left" wrapText="1"/>
    </xf>
    <xf numFmtId="0" fontId="35" fillId="18" borderId="0" xfId="0" applyFont="1" applyFill="1" applyAlignment="1">
      <alignment horizontal="center"/>
    </xf>
    <xf numFmtId="0" fontId="7" fillId="24" borderId="0" xfId="0" applyFont="1" applyFill="1" applyAlignment="1">
      <alignment horizontal="center"/>
    </xf>
    <xf numFmtId="0" fontId="14" fillId="24" borderId="0" xfId="0" applyFont="1" applyFill="1" applyAlignment="1">
      <alignment horizontal="center"/>
    </xf>
    <xf numFmtId="0" fontId="13" fillId="37" borderId="0" xfId="0" applyFont="1" applyFill="1" applyAlignment="1">
      <alignment horizontal="center"/>
    </xf>
    <xf numFmtId="0" fontId="13" fillId="37" borderId="0" xfId="0" quotePrefix="1" applyFont="1" applyFill="1" applyAlignment="1">
      <alignment horizontal="center"/>
    </xf>
    <xf numFmtId="0" fontId="0" fillId="37" borderId="0" xfId="0" applyFill="1" applyAlignment="1">
      <alignment horizontal="center"/>
    </xf>
    <xf numFmtId="0" fontId="2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164" fontId="14" fillId="12" borderId="0" xfId="1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 applyAlignment="1">
      <alignment horizontal="right"/>
    </xf>
    <xf numFmtId="9" fontId="17" fillId="0" borderId="0" xfId="1" applyFont="1"/>
    <xf numFmtId="9" fontId="2" fillId="16" borderId="0" xfId="1" applyFont="1" applyFill="1" applyAlignment="1">
      <alignment horizontal="center"/>
    </xf>
    <xf numFmtId="9" fontId="0" fillId="0" borderId="0" xfId="1" applyNumberFormat="1" applyFont="1" applyAlignment="1">
      <alignment horizontal="center"/>
    </xf>
    <xf numFmtId="9" fontId="2" fillId="16" borderId="0" xfId="1" applyNumberFormat="1" applyFont="1" applyFill="1" applyAlignment="1">
      <alignment horizontal="center"/>
    </xf>
    <xf numFmtId="166" fontId="36" fillId="0" borderId="65" xfId="0" applyNumberFormat="1" applyFont="1" applyBorder="1" applyAlignment="1">
      <alignment vertical="center"/>
    </xf>
    <xf numFmtId="166" fontId="36" fillId="0" borderId="65" xfId="0" applyNumberFormat="1" applyFont="1" applyFill="1" applyBorder="1" applyAlignment="1">
      <alignment vertical="center"/>
    </xf>
    <xf numFmtId="9" fontId="0" fillId="0" borderId="0" xfId="1" applyNumberFormat="1" applyFont="1"/>
    <xf numFmtId="9" fontId="2" fillId="16" borderId="0" xfId="1" applyNumberFormat="1" applyFont="1" applyFill="1"/>
    <xf numFmtId="0" fontId="2" fillId="16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14" fillId="11" borderId="0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4" fillId="0" borderId="57" xfId="0" applyFont="1" applyBorder="1"/>
    <xf numFmtId="0" fontId="9" fillId="0" borderId="0" xfId="4" applyFont="1"/>
    <xf numFmtId="164" fontId="0" fillId="0" borderId="0" xfId="1" applyNumberFormat="1" applyFont="1" applyBorder="1" applyAlignment="1">
      <alignment horizontal="center"/>
    </xf>
    <xf numFmtId="9" fontId="0" fillId="0" borderId="0" xfId="1" applyFont="1" applyAlignment="1">
      <alignment horizontal="centerContinuous"/>
    </xf>
    <xf numFmtId="0" fontId="38" fillId="0" borderId="0" xfId="0" applyFont="1"/>
    <xf numFmtId="0" fontId="2" fillId="14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16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/>
    </xf>
    <xf numFmtId="0" fontId="2" fillId="27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16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17" borderId="0" xfId="0" applyFill="1"/>
    <xf numFmtId="0" fontId="0" fillId="19" borderId="0" xfId="0" applyFill="1"/>
    <xf numFmtId="0" fontId="13" fillId="17" borderId="0" xfId="0" applyFont="1" applyFill="1"/>
    <xf numFmtId="0" fontId="13" fillId="19" borderId="0" xfId="0" applyFont="1" applyFill="1"/>
    <xf numFmtId="0" fontId="14" fillId="16" borderId="0" xfId="0" applyFont="1" applyFill="1" applyAlignment="1">
      <alignment horizontal="centerContinuous"/>
    </xf>
    <xf numFmtId="0" fontId="14" fillId="16" borderId="0" xfId="0" applyFont="1" applyFill="1" applyAlignment="1">
      <alignment horizontal="center"/>
    </xf>
    <xf numFmtId="0" fontId="2" fillId="7" borderId="0" xfId="0" applyFont="1" applyFill="1"/>
    <xf numFmtId="0" fontId="2" fillId="16" borderId="0" xfId="0" applyFont="1" applyFill="1" applyAlignment="1"/>
    <xf numFmtId="0" fontId="14" fillId="20" borderId="0" xfId="0" applyFont="1" applyFill="1" applyAlignment="1">
      <alignment horizontal="right"/>
    </xf>
    <xf numFmtId="0" fontId="2" fillId="8" borderId="0" xfId="0" applyFont="1" applyFill="1"/>
    <xf numFmtId="0" fontId="39" fillId="8" borderId="0" xfId="0" applyFont="1" applyFill="1"/>
    <xf numFmtId="0" fontId="0" fillId="0" borderId="0" xfId="1" applyNumberFormat="1" applyFont="1" applyAlignment="1">
      <alignment horizontal="left"/>
    </xf>
    <xf numFmtId="0" fontId="7" fillId="14" borderId="0" xfId="0" applyFont="1" applyFill="1" applyAlignment="1">
      <alignment horizontal="centerContinuous"/>
    </xf>
    <xf numFmtId="0" fontId="22" fillId="19" borderId="0" xfId="0" applyFont="1" applyFill="1" applyAlignment="1">
      <alignment horizontal="left"/>
    </xf>
    <xf numFmtId="0" fontId="7" fillId="20" borderId="0" xfId="0" applyFont="1" applyFill="1" applyAlignment="1">
      <alignment horizontal="centerContinuous"/>
    </xf>
    <xf numFmtId="0" fontId="7" fillId="21" borderId="0" xfId="0" applyFont="1" applyFill="1" applyAlignment="1">
      <alignment horizontal="centerContinuous"/>
    </xf>
    <xf numFmtId="0" fontId="6" fillId="17" borderId="0" xfId="0" applyFont="1" applyFill="1" applyAlignment="1">
      <alignment horizontal="center"/>
    </xf>
    <xf numFmtId="164" fontId="6" fillId="17" borderId="0" xfId="1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64" fontId="6" fillId="8" borderId="0" xfId="1" applyNumberFormat="1" applyFont="1" applyFill="1" applyAlignment="1">
      <alignment horizontal="center"/>
    </xf>
    <xf numFmtId="0" fontId="6" fillId="18" borderId="0" xfId="0" applyFont="1" applyFill="1" applyAlignment="1">
      <alignment horizontal="center"/>
    </xf>
    <xf numFmtId="164" fontId="6" fillId="18" borderId="0" xfId="1" applyNumberFormat="1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 wrapText="1"/>
    </xf>
    <xf numFmtId="0" fontId="2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/>
    <xf numFmtId="0" fontId="6" fillId="14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0" borderId="0" xfId="0" applyFont="1"/>
    <xf numFmtId="1" fontId="0" fillId="15" borderId="0" xfId="0" applyNumberFormat="1" applyFill="1" applyBorder="1" applyAlignment="1">
      <alignment horizontal="center"/>
    </xf>
    <xf numFmtId="1" fontId="2" fillId="12" borderId="0" xfId="0" applyNumberFormat="1" applyFont="1" applyFill="1" applyBorder="1" applyAlignment="1">
      <alignment horizontal="centerContinuous"/>
    </xf>
    <xf numFmtId="1" fontId="2" fillId="12" borderId="0" xfId="0" applyNumberFormat="1" applyFont="1" applyFill="1" applyBorder="1" applyAlignment="1">
      <alignment horizontal="center"/>
    </xf>
    <xf numFmtId="0" fontId="2" fillId="26" borderId="21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wrapText="1"/>
    </xf>
    <xf numFmtId="9" fontId="2" fillId="14" borderId="0" xfId="1" applyFont="1" applyFill="1" applyAlignment="1">
      <alignment horizontal="center"/>
    </xf>
    <xf numFmtId="164" fontId="2" fillId="16" borderId="0" xfId="1" applyNumberFormat="1" applyFont="1" applyFill="1"/>
    <xf numFmtId="164" fontId="2" fillId="14" borderId="0" xfId="1" applyNumberFormat="1" applyFont="1" applyFill="1"/>
    <xf numFmtId="164" fontId="2" fillId="16" borderId="0" xfId="1" applyNumberFormat="1" applyFont="1" applyFill="1" applyAlignment="1">
      <alignment horizontal="center"/>
    </xf>
    <xf numFmtId="164" fontId="2" fillId="14" borderId="0" xfId="1" applyNumberFormat="1" applyFont="1" applyFill="1" applyAlignment="1">
      <alignment horizontal="center"/>
    </xf>
    <xf numFmtId="0" fontId="2" fillId="27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164" fontId="13" fillId="2" borderId="0" xfId="1" applyNumberFormat="1" applyFont="1" applyFill="1" applyAlignment="1">
      <alignment horizontal="center"/>
    </xf>
    <xf numFmtId="9" fontId="7" fillId="6" borderId="0" xfId="1" applyNumberFormat="1" applyFont="1" applyFill="1" applyAlignment="1">
      <alignment horizontal="center"/>
    </xf>
    <xf numFmtId="164" fontId="13" fillId="2" borderId="0" xfId="1" applyNumberFormat="1" applyFont="1" applyFill="1" applyAlignment="1">
      <alignment horizontal="center" vertical="center"/>
    </xf>
    <xf numFmtId="9" fontId="7" fillId="6" borderId="0" xfId="1" applyNumberFormat="1" applyFont="1" applyFill="1" applyAlignment="1">
      <alignment horizontal="center" vertical="center"/>
    </xf>
    <xf numFmtId="164" fontId="7" fillId="6" borderId="0" xfId="1" applyNumberFormat="1" applyFont="1" applyFill="1" applyAlignment="1">
      <alignment horizontal="center"/>
    </xf>
    <xf numFmtId="164" fontId="7" fillId="15" borderId="0" xfId="1" applyNumberFormat="1" applyFont="1" applyFill="1" applyAlignment="1">
      <alignment horizontal="center"/>
    </xf>
    <xf numFmtId="9" fontId="7" fillId="15" borderId="0" xfId="1" applyNumberFormat="1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9" fontId="7" fillId="12" borderId="3" xfId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9" fontId="7" fillId="12" borderId="1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4" fillId="12" borderId="8" xfId="0" applyFont="1" applyFill="1" applyBorder="1" applyAlignment="1">
      <alignment horizontal="center"/>
    </xf>
    <xf numFmtId="9" fontId="14" fillId="12" borderId="3" xfId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6" borderId="7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6" borderId="11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6" borderId="13" xfId="0" applyNumberFormat="1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164" fontId="0" fillId="17" borderId="0" xfId="1" applyNumberFormat="1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164" fontId="7" fillId="14" borderId="0" xfId="1" applyNumberFormat="1" applyFont="1" applyFill="1" applyAlignment="1">
      <alignment horizontal="center"/>
    </xf>
    <xf numFmtId="0" fontId="13" fillId="19" borderId="0" xfId="0" applyFont="1" applyFill="1" applyAlignment="1">
      <alignment horizontal="center"/>
    </xf>
    <xf numFmtId="164" fontId="13" fillId="19" borderId="0" xfId="1" applyNumberFormat="1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164" fontId="7" fillId="20" borderId="0" xfId="1" applyNumberFormat="1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7" fillId="24" borderId="0" xfId="0" applyFont="1" applyFill="1" applyAlignment="1">
      <alignment horizontal="center" vertical="center"/>
    </xf>
    <xf numFmtId="0" fontId="17" fillId="2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1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9" fillId="8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6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1" fontId="0" fillId="0" borderId="0" xfId="0" applyNumberFormat="1" applyBorder="1" applyAlignment="1">
      <alignment horizontal="center"/>
    </xf>
    <xf numFmtId="0" fontId="33" fillId="0" borderId="0" xfId="0" applyFont="1" applyAlignment="1">
      <alignment horizontal="center"/>
    </xf>
    <xf numFmtId="3" fontId="20" fillId="31" borderId="30" xfId="0" applyNumberFormat="1" applyFont="1" applyFill="1" applyBorder="1" applyAlignment="1">
      <alignment horizontal="center" vertical="center"/>
    </xf>
    <xf numFmtId="3" fontId="20" fillId="31" borderId="34" xfId="0" applyNumberFormat="1" applyFont="1" applyFill="1" applyBorder="1" applyAlignment="1">
      <alignment horizontal="center" vertical="center"/>
    </xf>
    <xf numFmtId="3" fontId="20" fillId="31" borderId="37" xfId="0" applyNumberFormat="1" applyFont="1" applyFill="1" applyBorder="1" applyAlignment="1">
      <alignment horizontal="center" vertical="center"/>
    </xf>
    <xf numFmtId="3" fontId="20" fillId="31" borderId="36" xfId="0" applyNumberFormat="1" applyFont="1" applyFill="1" applyBorder="1" applyAlignment="1">
      <alignment horizontal="center" vertical="center"/>
    </xf>
    <xf numFmtId="3" fontId="20" fillId="31" borderId="60" xfId="0" applyNumberFormat="1" applyFont="1" applyFill="1" applyBorder="1" applyAlignment="1">
      <alignment horizontal="center" vertical="center"/>
    </xf>
    <xf numFmtId="3" fontId="20" fillId="31" borderId="38" xfId="0" applyNumberFormat="1" applyFont="1" applyFill="1" applyBorder="1" applyAlignment="1">
      <alignment horizontal="center" vertical="center"/>
    </xf>
    <xf numFmtId="0" fontId="13" fillId="38" borderId="0" xfId="0" applyFont="1" applyFill="1" applyAlignment="1">
      <alignment horizontal="right"/>
    </xf>
    <xf numFmtId="0" fontId="13" fillId="38" borderId="0" xfId="0" applyFont="1" applyFill="1"/>
    <xf numFmtId="0" fontId="13" fillId="38" borderId="0" xfId="0" applyFont="1" applyFill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13" fillId="39" borderId="0" xfId="0" applyFont="1" applyFill="1" applyAlignment="1">
      <alignment horizontal="center"/>
    </xf>
    <xf numFmtId="0" fontId="13" fillId="39" borderId="0" xfId="0" applyFont="1" applyFill="1"/>
    <xf numFmtId="165" fontId="20" fillId="31" borderId="70" xfId="0" applyNumberFormat="1" applyFont="1" applyFill="1" applyBorder="1" applyAlignment="1">
      <alignment horizontal="center" vertical="center"/>
    </xf>
    <xf numFmtId="3" fontId="20" fillId="31" borderId="71" xfId="0" applyNumberFormat="1" applyFont="1" applyFill="1" applyBorder="1" applyAlignment="1">
      <alignment horizontal="center" vertical="center"/>
    </xf>
    <xf numFmtId="165" fontId="20" fillId="31" borderId="71" xfId="0" applyNumberFormat="1" applyFont="1" applyFill="1" applyBorder="1" applyAlignment="1">
      <alignment horizontal="center" vertical="center"/>
    </xf>
    <xf numFmtId="0" fontId="0" fillId="0" borderId="22" xfId="0" applyNumberFormat="1" applyBorder="1" applyAlignment="1">
      <alignment horizontal="center"/>
    </xf>
    <xf numFmtId="0" fontId="19" fillId="30" borderId="29" xfId="0" applyFont="1" applyFill="1" applyBorder="1" applyAlignment="1">
      <alignment horizontal="center" vertical="center" wrapText="1"/>
    </xf>
    <xf numFmtId="0" fontId="19" fillId="32" borderId="72" xfId="0" applyFont="1" applyFill="1" applyBorder="1" applyAlignment="1">
      <alignment horizontal="center" vertical="center"/>
    </xf>
    <xf numFmtId="0" fontId="19" fillId="32" borderId="73" xfId="0" applyFont="1" applyFill="1" applyBorder="1" applyAlignment="1">
      <alignment horizontal="center" vertical="center"/>
    </xf>
    <xf numFmtId="0" fontId="19" fillId="32" borderId="74" xfId="0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19" fillId="32" borderId="75" xfId="0" applyFont="1" applyFill="1" applyBorder="1" applyAlignment="1">
      <alignment horizontal="center" vertical="center"/>
    </xf>
    <xf numFmtId="0" fontId="19" fillId="32" borderId="76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19" fillId="32" borderId="79" xfId="0" applyFont="1" applyFill="1" applyBorder="1" applyAlignment="1">
      <alignment horizontal="center" vertical="center"/>
    </xf>
    <xf numFmtId="0" fontId="19" fillId="32" borderId="80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2" fillId="16" borderId="0" xfId="0" applyFont="1" applyFill="1" applyAlignment="1">
      <alignment horizontal="right"/>
    </xf>
    <xf numFmtId="0" fontId="6" fillId="27" borderId="0" xfId="0" applyFont="1" applyFill="1" applyAlignment="1">
      <alignment horizontal="center" vertical="center" wrapText="1"/>
    </xf>
    <xf numFmtId="0" fontId="6" fillId="16" borderId="0" xfId="0" applyFont="1" applyFill="1" applyBorder="1" applyAlignment="1">
      <alignment horizontal="center"/>
    </xf>
    <xf numFmtId="0" fontId="42" fillId="40" borderId="0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Continuous" vertical="center" wrapText="1"/>
    </xf>
    <xf numFmtId="0" fontId="43" fillId="0" borderId="22" xfId="0" applyFont="1" applyFill="1" applyBorder="1" applyAlignment="1">
      <alignment horizontal="centerContinuous" vertical="center" wrapText="1"/>
    </xf>
    <xf numFmtId="0" fontId="43" fillId="0" borderId="21" xfId="0" applyFont="1" applyFill="1" applyBorder="1" applyAlignment="1">
      <alignment horizontal="centerContinuous" vertical="center" wrapText="1"/>
    </xf>
    <xf numFmtId="0" fontId="43" fillId="0" borderId="21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 wrapText="1"/>
    </xf>
    <xf numFmtId="0" fontId="44" fillId="41" borderId="20" xfId="0" applyFont="1" applyFill="1" applyBorder="1" applyAlignment="1">
      <alignment vertical="center" wrapText="1"/>
    </xf>
    <xf numFmtId="1" fontId="45" fillId="0" borderId="21" xfId="0" applyNumberFormat="1" applyFont="1" applyFill="1" applyBorder="1" applyAlignment="1">
      <alignment horizontal="center" vertical="center" wrapText="1"/>
    </xf>
    <xf numFmtId="1" fontId="45" fillId="0" borderId="21" xfId="0" applyNumberFormat="1" applyFont="1" applyFill="1" applyBorder="1" applyAlignment="1">
      <alignment horizontal="center" vertical="center"/>
    </xf>
    <xf numFmtId="0" fontId="46" fillId="41" borderId="19" xfId="0" applyFont="1" applyFill="1" applyBorder="1" applyAlignment="1">
      <alignment horizontal="centerContinuous" vertical="center" wrapText="1"/>
    </xf>
    <xf numFmtId="0" fontId="46" fillId="41" borderId="2" xfId="0" applyFont="1" applyFill="1" applyBorder="1" applyAlignment="1">
      <alignment vertical="center" wrapText="1"/>
    </xf>
    <xf numFmtId="0" fontId="46" fillId="41" borderId="20" xfId="0" applyFont="1" applyFill="1" applyBorder="1" applyAlignment="1">
      <alignment vertical="center" wrapText="1"/>
    </xf>
    <xf numFmtId="0" fontId="46" fillId="41" borderId="22" xfId="0" applyFont="1" applyFill="1" applyBorder="1" applyAlignment="1">
      <alignment vertical="center" wrapText="1"/>
    </xf>
    <xf numFmtId="0" fontId="48" fillId="0" borderId="81" xfId="0" applyFont="1" applyBorder="1" applyAlignment="1">
      <alignment vertical="center" wrapText="1"/>
    </xf>
    <xf numFmtId="2" fontId="47" fillId="0" borderId="82" xfId="0" applyNumberFormat="1" applyFont="1" applyBorder="1" applyAlignment="1">
      <alignment horizontal="center" vertical="center"/>
    </xf>
    <xf numFmtId="2" fontId="47" fillId="0" borderId="21" xfId="0" applyNumberFormat="1" applyFont="1" applyBorder="1" applyAlignment="1">
      <alignment horizontal="center" vertical="center"/>
    </xf>
    <xf numFmtId="0" fontId="49" fillId="0" borderId="19" xfId="0" applyFont="1" applyBorder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2" fontId="45" fillId="0" borderId="82" xfId="1" applyNumberFormat="1" applyFont="1" applyFill="1" applyBorder="1" applyAlignment="1">
      <alignment horizontal="center" vertical="center"/>
    </xf>
    <xf numFmtId="2" fontId="45" fillId="0" borderId="21" xfId="1" applyNumberFormat="1" applyFont="1" applyFill="1" applyBorder="1" applyAlignment="1">
      <alignment horizontal="center" vertical="center"/>
    </xf>
    <xf numFmtId="2" fontId="45" fillId="0" borderId="82" xfId="0" applyNumberFormat="1" applyFont="1" applyBorder="1" applyAlignment="1">
      <alignment horizontal="center" vertical="center"/>
    </xf>
    <xf numFmtId="2" fontId="45" fillId="0" borderId="21" xfId="0" applyNumberFormat="1" applyFont="1" applyBorder="1" applyAlignment="1">
      <alignment horizontal="center" vertical="center"/>
    </xf>
    <xf numFmtId="10" fontId="45" fillId="0" borderId="21" xfId="1" applyNumberFormat="1" applyFont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2" fontId="49" fillId="0" borderId="19" xfId="0" applyNumberFormat="1" applyFont="1" applyBorder="1" applyAlignment="1">
      <alignment wrapText="1"/>
    </xf>
    <xf numFmtId="2" fontId="47" fillId="0" borderId="21" xfId="0" applyNumberFormat="1" applyFont="1" applyBorder="1" applyAlignment="1">
      <alignment horizontal="center" vertical="center" wrapText="1"/>
    </xf>
    <xf numFmtId="2" fontId="47" fillId="0" borderId="21" xfId="5" applyNumberFormat="1" applyFont="1" applyBorder="1" applyAlignment="1">
      <alignment horizontal="center" vertical="center"/>
    </xf>
    <xf numFmtId="10" fontId="45" fillId="0" borderId="22" xfId="1" applyNumberFormat="1" applyFont="1" applyBorder="1" applyAlignment="1">
      <alignment horizontal="center" vertical="center"/>
    </xf>
    <xf numFmtId="2" fontId="49" fillId="0" borderId="81" xfId="0" applyNumberFormat="1" applyFont="1" applyBorder="1" applyAlignment="1">
      <alignment wrapText="1"/>
    </xf>
    <xf numFmtId="0" fontId="25" fillId="0" borderId="0" xfId="0" applyNumberFormat="1" applyFont="1" applyAlignment="1">
      <alignment horizontal="left"/>
    </xf>
    <xf numFmtId="0" fontId="33" fillId="0" borderId="0" xfId="0" applyFont="1"/>
    <xf numFmtId="3" fontId="33" fillId="0" borderId="0" xfId="0" applyNumberFormat="1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11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14" fillId="16" borderId="2" xfId="0" applyFont="1" applyFill="1" applyBorder="1" applyAlignment="1">
      <alignment horizontal="right"/>
    </xf>
    <xf numFmtId="0" fontId="14" fillId="15" borderId="2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7" fillId="14" borderId="0" xfId="0" applyFont="1" applyFill="1" applyAlignment="1">
      <alignment horizontal="right"/>
    </xf>
    <xf numFmtId="0" fontId="41" fillId="16" borderId="0" xfId="0" applyFont="1" applyFill="1" applyAlignment="1">
      <alignment horizontal="center"/>
    </xf>
    <xf numFmtId="0" fontId="0" fillId="23" borderId="0" xfId="0" applyFill="1" applyAlignment="1">
      <alignment horizontal="center" vertical="center" wrapText="1"/>
    </xf>
    <xf numFmtId="0" fontId="2" fillId="22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0" fillId="23" borderId="0" xfId="0" applyFill="1" applyAlignment="1">
      <alignment horizontal="center" vertical="center"/>
    </xf>
    <xf numFmtId="0" fontId="2" fillId="2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2" fillId="25" borderId="0" xfId="0" applyFont="1" applyFill="1" applyAlignment="1">
      <alignment horizontal="left"/>
    </xf>
    <xf numFmtId="0" fontId="14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right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2" fillId="26" borderId="0" xfId="0" applyFont="1" applyFill="1" applyBorder="1" applyAlignment="1">
      <alignment horizontal="center" wrapText="1"/>
    </xf>
    <xf numFmtId="0" fontId="14" fillId="11" borderId="0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14" borderId="0" xfId="0" applyFont="1" applyFill="1" applyAlignment="1">
      <alignment horizontal="center"/>
    </xf>
    <xf numFmtId="0" fontId="2" fillId="27" borderId="0" xfId="0" applyFont="1" applyFill="1" applyAlignment="1">
      <alignment horizontal="center" vertical="center"/>
    </xf>
    <xf numFmtId="0" fontId="2" fillId="2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8" borderId="0" xfId="0" applyFont="1" applyFill="1" applyAlignment="1">
      <alignment horizontal="center" textRotation="255"/>
    </xf>
    <xf numFmtId="0" fontId="6" fillId="28" borderId="0" xfId="0" applyFont="1" applyFill="1" applyAlignment="1">
      <alignment horizontal="center" vertical="center" textRotation="255"/>
    </xf>
    <xf numFmtId="0" fontId="6" fillId="28" borderId="21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6" fillId="14" borderId="20" xfId="0" applyFont="1" applyFill="1" applyBorder="1" applyAlignment="1">
      <alignment horizontal="center"/>
    </xf>
    <xf numFmtId="0" fontId="6" fillId="14" borderId="22" xfId="0" applyFont="1" applyFill="1" applyBorder="1" applyAlignment="1">
      <alignment horizontal="center"/>
    </xf>
    <xf numFmtId="0" fontId="13" fillId="0" borderId="0" xfId="0" quotePrefix="1" applyFont="1" applyAlignment="1">
      <alignment horizontal="left" wrapText="1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6" fillId="29" borderId="19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6" fillId="16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/>
    </xf>
    <xf numFmtId="0" fontId="20" fillId="3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32" borderId="27" xfId="0" applyFont="1" applyFill="1" applyBorder="1" applyAlignment="1">
      <alignment horizontal="center" vertical="center" wrapText="1"/>
    </xf>
    <xf numFmtId="0" fontId="19" fillId="32" borderId="28" xfId="0" applyFont="1" applyFill="1" applyBorder="1" applyAlignment="1">
      <alignment horizontal="center" vertical="center" wrapText="1"/>
    </xf>
    <xf numFmtId="0" fontId="19" fillId="32" borderId="29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wrapText="1"/>
    </xf>
  </cellXfs>
  <cellStyles count="6">
    <cellStyle name="Lien hypertexte" xfId="4" builtinId="8"/>
    <cellStyle name="Milliers" xfId="5" builtinId="3"/>
    <cellStyle name="Monétaire" xfId="3" builtinId="4"/>
    <cellStyle name="Normal" xfId="0" builtinId="0"/>
    <cellStyle name="Normal 2 2" xfId="2" xr:uid="{60BB358B-CA72-4E12-A0DE-2BC9425F268E}"/>
    <cellStyle name="Pourcentage" xfId="1" builtinId="5"/>
  </cellStyles>
  <dxfs count="1">
    <dxf>
      <font>
        <color theme="0"/>
      </font>
      <numFmt numFmtId="1" formatCode="0"/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BD92DE"/>
      <color rgb="FFE274D5"/>
      <color rgb="FF00863D"/>
      <color rgb="FF00602B"/>
      <color rgb="FFFF6699"/>
      <color rgb="FFFF7C80"/>
      <color rgb="FF3D82ED"/>
      <color rgb="FF6B3953"/>
      <color rgb="FFA85C84"/>
      <color rgb="FFC08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Répartition de</a:t>
            </a:r>
            <a:r>
              <a:rPr lang="fr-FR" sz="1100" baseline="0"/>
              <a:t> l'effectif global par genre</a:t>
            </a:r>
            <a:endParaRPr lang="fr-FR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216-4176-9C1D-25A92A120D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16-4176-9C1D-25A92A120DDF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16-4176-9C1D-25A92A120DDF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16-4176-9C1D-25A92A120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'I-2.1 Effectif Global'!$I$5:$J$5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'I-2.1 Effectif Global'!$I$8:$J$8</c:f>
              <c:numCache>
                <c:formatCode>General</c:formatCode>
                <c:ptCount val="2"/>
                <c:pt idx="0">
                  <c:v>900</c:v>
                </c:pt>
                <c:pt idx="1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6-4176-9C1D-25A92A120D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D8-42DF-A7F6-7C2E015121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CD8-42DF-A7F6-7C2E0151216F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D8-42DF-A7F6-7C2E015121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'I-2.2 Effectif BIATSS'!$B$6:$B$8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'I-2.2 Effectif BIATSS'!$I$6:$I$8</c:f>
              <c:numCache>
                <c:formatCode>General</c:formatCode>
                <c:ptCount val="3"/>
                <c:pt idx="0">
                  <c:v>234</c:v>
                </c:pt>
                <c:pt idx="1">
                  <c:v>225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2DF-A7F6-7C2E015121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'I-2.2 Effectif BIATSS'!$H$32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D167B4-F79B-4136-B0E9-3535789359B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A77-44DF-BD50-4B842A2CB7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9E38046-B5AC-4814-9B26-4097A666D8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7-44DF-BD50-4B842A2CB7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FC8DA6-700E-417E-9199-EFB7135D1F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7-44DF-BD50-4B842A2CB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'I-2.2 Effectif BIATSS'!$G$34:$G$37</c15:sqref>
                  </c15:fullRef>
                </c:ext>
              </c:extLst>
              <c:f>'I-2.2 Effectif BIATSS'!$G$34:$G$36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'I-2.2 Effectif BIATSS'!$H$34:$H$37</c15:sqref>
                  </c15:fullRef>
                </c:ext>
              </c:extLst>
              <c:f>'I-2.2 Effectif BIATSS'!$H$34:$H$36</c:f>
              <c:numCache>
                <c:formatCode>General</c:formatCode>
                <c:ptCount val="3"/>
                <c:pt idx="0">
                  <c:v>190</c:v>
                </c:pt>
                <c:pt idx="1">
                  <c:v>169</c:v>
                </c:pt>
                <c:pt idx="2">
                  <c:v>138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'I-2.2 Effectif BIATSS'!$I$34:$I$37</c15:f>
                <c15:dlblRangeCache>
                  <c:ptCount val="4"/>
                  <c:pt idx="0">
                    <c:v>75%</c:v>
                  </c:pt>
                  <c:pt idx="1">
                    <c:v>75%</c:v>
                  </c:pt>
                  <c:pt idx="2">
                    <c:v>59%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'I-2.2 Effectif BIATSS'!$H$37</c15:sqref>
                  <c15:dLbl>
                    <c:idx val="2"/>
                    <c:tx>
                      <c:rich>
                        <a:bodyPr/>
                        <a:lstStyle/>
                        <a:p>
                          <a:endParaRPr lang="fr-FR"/>
                        </a:p>
                      </c:rich>
                    </c:tx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9D3A-4026-8087-2D33B7FC906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EA77-44DF-BD50-4B842A2CB7C0}"/>
            </c:ext>
          </c:extLst>
        </c:ser>
        <c:ser>
          <c:idx val="1"/>
          <c:order val="1"/>
          <c:tx>
            <c:strRef>
              <c:f>'I-2.2 Effectif BIATSS'!$J$32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FB4E0B-887F-415C-84EC-1A77AED545D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77-44DF-BD50-4B842A2CB7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E293FB-29EC-4441-BED2-08A02971AA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7-44DF-BD50-4B842A2CB7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7A606B-D18A-4823-A895-D6340702BC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7-44DF-BD50-4B842A2CB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'I-2.2 Effectif BIATSS'!$G$34:$G$37</c15:sqref>
                  </c15:fullRef>
                </c:ext>
              </c:extLst>
              <c:f>'I-2.2 Effectif BIATSS'!$G$34:$G$36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'I-2.2 Effectif BIATSS'!$J$34:$J$37</c15:sqref>
                  </c15:fullRef>
                </c:ext>
              </c:extLst>
              <c:f>'I-2.2 Effectif BIATSS'!$J$34:$J$36</c:f>
              <c:numCache>
                <c:formatCode>General</c:formatCode>
                <c:ptCount val="3"/>
                <c:pt idx="0">
                  <c:v>63</c:v>
                </c:pt>
                <c:pt idx="1">
                  <c:v>56</c:v>
                </c:pt>
                <c:pt idx="2">
                  <c:v>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'I-2.2 Effectif BIATSS'!$K$34:$K$38</c15:f>
                <c15:dlblRangeCache>
                  <c:ptCount val="5"/>
                  <c:pt idx="0">
                    <c:v>25%</c:v>
                  </c:pt>
                  <c:pt idx="1">
                    <c:v>25%</c:v>
                  </c:pt>
                  <c:pt idx="2">
                    <c:v>41%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'I-2.2 Effectif BIATSS'!$J$37</c15:sqref>
                  <c15:dLbl>
                    <c:idx val="2"/>
                    <c:tx>
                      <c:rich>
                        <a:bodyPr/>
                        <a:lstStyle/>
                        <a:p>
                          <a:endParaRPr lang="fr-FR"/>
                        </a:p>
                      </c:rich>
                    </c:tx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9D3A-4026-8087-2D33B7FC906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EA77-44DF-BD50-4B842A2CB7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3828984"/>
        <c:axId val="373832264"/>
      </c:barChart>
      <c:catAx>
        <c:axId val="373828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32264"/>
        <c:crosses val="autoZero"/>
        <c:auto val="1"/>
        <c:lblAlgn val="ctr"/>
        <c:lblOffset val="100"/>
        <c:noMultiLvlLbl val="0"/>
      </c:catAx>
      <c:valAx>
        <c:axId val="37383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2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13-4B63-98D6-0817E560857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B13-4B63-98D6-0817E5608575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13-4B63-98D6-0817E5608575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B13-4B63-98D6-0817E56085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'I-2.2 Effectif BIATSS'!$B$31:$B$34</c:f>
              <c:strCache>
                <c:ptCount val="4"/>
                <c:pt idx="0">
                  <c:v>ITRF</c:v>
                </c:pt>
                <c:pt idx="1">
                  <c:v>AENES</c:v>
                </c:pt>
                <c:pt idx="2">
                  <c:v>BU</c:v>
                </c:pt>
                <c:pt idx="3">
                  <c:v>Médicaux sociaux</c:v>
                </c:pt>
              </c:strCache>
            </c:strRef>
          </c:cat>
          <c:val>
            <c:numRef>
              <c:f>'I-2.2 Effectif BIATSS'!$C$31:$C$34</c:f>
              <c:numCache>
                <c:formatCode>General</c:formatCode>
                <c:ptCount val="4"/>
                <c:pt idx="0">
                  <c:v>597</c:v>
                </c:pt>
                <c:pt idx="1">
                  <c:v>70</c:v>
                </c:pt>
                <c:pt idx="2">
                  <c:v>43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3-4B63-98D6-0817E56085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9900497512437811E-2"/>
          <c:y val="0.32248400141142092"/>
          <c:w val="0.32076885911649106"/>
          <c:h val="0.407628961959555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'I-2.2 Effectif BIATSS'!$C$13</c:f>
              <c:strCache>
                <c:ptCount val="1"/>
                <c:pt idx="0">
                  <c:v>Titulaires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BIATSS'!$B$14:$B$16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f>'I-2.2 Effectif BIATSS'!$C$14:$C$16</c:f>
              <c:numCache>
                <c:formatCode>General</c:formatCode>
                <c:ptCount val="3"/>
                <c:pt idx="0">
                  <c:v>132</c:v>
                </c:pt>
                <c:pt idx="1">
                  <c:v>132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C-40D3-8939-51F8B6C8C974}"/>
            </c:ext>
          </c:extLst>
        </c:ser>
        <c:ser>
          <c:idx val="1"/>
          <c:order val="1"/>
          <c:tx>
            <c:strRef>
              <c:f>'I-2.2 Effectif BIATSS'!$D$13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BIATSS'!$B$14:$B$16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f>'I-2.2 Effectif BIATSS'!$D$14:$D$16</c:f>
              <c:numCache>
                <c:formatCode>General</c:formatCode>
                <c:ptCount val="3"/>
                <c:pt idx="0">
                  <c:v>121</c:v>
                </c:pt>
                <c:pt idx="1">
                  <c:v>93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C-40D3-8939-51F8B6C8C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377214672"/>
        <c:axId val="377215656"/>
      </c:barChart>
      <c:catAx>
        <c:axId val="37721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215656"/>
        <c:crosses val="autoZero"/>
        <c:auto val="1"/>
        <c:lblAlgn val="ctr"/>
        <c:lblOffset val="100"/>
        <c:noMultiLvlLbl val="0"/>
      </c:catAx>
      <c:valAx>
        <c:axId val="377215656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21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3B5-4593-93CA-3888F4054E1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B5-4593-93CA-3888F4054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'I-2.2 Effectif BIATSS'!$C$13:$D$13</c:f>
              <c:strCache>
                <c:ptCount val="2"/>
                <c:pt idx="0">
                  <c:v>Titulaires</c:v>
                </c:pt>
                <c:pt idx="1">
                  <c:v>Contractuels</c:v>
                </c:pt>
              </c:strCache>
            </c:strRef>
          </c:cat>
          <c:val>
            <c:numRef>
              <c:f>'I-2.2 Effectif BIATSS'!$C$17:$D$17</c:f>
              <c:numCache>
                <c:formatCode>General</c:formatCode>
                <c:ptCount val="2"/>
                <c:pt idx="0">
                  <c:v>404</c:v>
                </c:pt>
                <c:pt idx="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5-4593-93CA-3888F4054E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158-4293-AB30-F25918D50ED0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58-4293-AB30-F25918D50ED0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C-4F67-A82C-8B568B2D6C9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39-46EE-A93D-CE6957DB8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('I-2.2 Effectif BIATSS'!$M$51,'I-2.2 Effectif BIATSS'!$M$61,'I-2.2 Effectif BIATSS'!$M$70,'I-2.2 Effectif BIATSS'!$M$79)</c:f>
              <c:strCache>
                <c:ptCount val="4"/>
                <c:pt idx="0">
                  <c:v>AENES</c:v>
                </c:pt>
                <c:pt idx="1">
                  <c:v>Biblio</c:v>
                </c:pt>
                <c:pt idx="2">
                  <c:v>ITRF</c:v>
                </c:pt>
                <c:pt idx="3">
                  <c:v>Médicaux sociaux</c:v>
                </c:pt>
              </c:strCache>
            </c:strRef>
          </c:cat>
          <c:val>
            <c:numRef>
              <c:f>('I-2.2 Effectif BIATSS'!$V$60,'I-2.2 Effectif BIATSS'!$V$69,'I-2.2 Effectif BIATSS'!$V$78,'I-2.2 Effectif BIATSS'!$V$82)</c:f>
              <c:numCache>
                <c:formatCode>General</c:formatCode>
                <c:ptCount val="4"/>
                <c:pt idx="0">
                  <c:v>70</c:v>
                </c:pt>
                <c:pt idx="1">
                  <c:v>43</c:v>
                </c:pt>
                <c:pt idx="2">
                  <c:v>290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8-4293-AB30-F25918D50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'I-2.2 Effectif BIATSS'!$P$49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('I-2.2 Effectif BIATSS'!$M$51,'I-2.2 Effectif BIATSS'!$M$61,'I-2.2 Effectif BIATSS'!$M$70,'I-2.2 Effectif BIATSS'!$M$79)</c:f>
              <c:strCache>
                <c:ptCount val="4"/>
                <c:pt idx="0">
                  <c:v>AENES</c:v>
                </c:pt>
                <c:pt idx="1">
                  <c:v>Biblio</c:v>
                </c:pt>
                <c:pt idx="2">
                  <c:v>ITRF</c:v>
                </c:pt>
                <c:pt idx="3">
                  <c:v>Médicaux sociaux</c:v>
                </c:pt>
              </c:strCache>
            </c:strRef>
          </c:cat>
          <c:val>
            <c:numRef>
              <c:f>('I-2.2 Effectif BIATSS'!$P$60,'I-2.2 Effectif BIATSS'!$P$69,'I-2.2 Effectif BIATSS'!$P$78,'I-2.2 Effectif BIATSS'!$P$82)</c:f>
              <c:numCache>
                <c:formatCode>General</c:formatCode>
                <c:ptCount val="4"/>
                <c:pt idx="0">
                  <c:v>61</c:v>
                </c:pt>
                <c:pt idx="1">
                  <c:v>28</c:v>
                </c:pt>
                <c:pt idx="2">
                  <c:v>190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844-8E8E-5D46B372BFDE}"/>
            </c:ext>
          </c:extLst>
        </c:ser>
        <c:ser>
          <c:idx val="1"/>
          <c:order val="1"/>
          <c:tx>
            <c:strRef>
              <c:f>'I-2.2 Effectif BIATSS'!$S$49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('I-2.2 Effectif BIATSS'!$M$51,'I-2.2 Effectif BIATSS'!$M$61,'I-2.2 Effectif BIATSS'!$M$70,'I-2.2 Effectif BIATSS'!$M$79)</c:f>
              <c:strCache>
                <c:ptCount val="4"/>
                <c:pt idx="0">
                  <c:v>AENES</c:v>
                </c:pt>
                <c:pt idx="1">
                  <c:v>Biblio</c:v>
                </c:pt>
                <c:pt idx="2">
                  <c:v>ITRF</c:v>
                </c:pt>
                <c:pt idx="3">
                  <c:v>Médicaux sociaux</c:v>
                </c:pt>
              </c:strCache>
            </c:strRef>
          </c:cat>
          <c:val>
            <c:numRef>
              <c:f>('I-2.2 Effectif BIATSS'!$S$60,'I-2.2 Effectif BIATSS'!$S$69,'I-2.2 Effectif BIATSS'!$S$78,'I-2.2 Effectif BIATSS'!$S$82)</c:f>
              <c:numCache>
                <c:formatCode>General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5-4844-8E8E-5D46B372BF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9078016"/>
        <c:axId val="509079656"/>
      </c:barChart>
      <c:catAx>
        <c:axId val="50907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079656"/>
        <c:crosses val="autoZero"/>
        <c:auto val="1"/>
        <c:lblAlgn val="ctr"/>
        <c:lblOffset val="100"/>
        <c:noMultiLvlLbl val="0"/>
      </c:catAx>
      <c:valAx>
        <c:axId val="50907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07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'I-2.2 Effectif BIATSS'!$AO$4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BIATSS'!$AN$5:$AN$6</c:f>
              <c:strCache>
                <c:ptCount val="2"/>
                <c:pt idx="0">
                  <c:v>CDI</c:v>
                </c:pt>
                <c:pt idx="1">
                  <c:v>CDD</c:v>
                </c:pt>
              </c:strCache>
            </c:strRef>
          </c:cat>
          <c:val>
            <c:numRef>
              <c:f>'I-2.2 Effectif BIATSS'!$AO$5:$AO$6</c:f>
              <c:numCache>
                <c:formatCode>General</c:formatCode>
                <c:ptCount val="2"/>
                <c:pt idx="0">
                  <c:v>76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4-47C4-9BEE-85DDAB41A12B}"/>
            </c:ext>
          </c:extLst>
        </c:ser>
        <c:ser>
          <c:idx val="1"/>
          <c:order val="1"/>
          <c:tx>
            <c:strRef>
              <c:f>'I-2.2 Effectif BIATSS'!$AP$4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BIATSS'!$AN$5:$AN$6</c:f>
              <c:strCache>
                <c:ptCount val="2"/>
                <c:pt idx="0">
                  <c:v>CDI</c:v>
                </c:pt>
                <c:pt idx="1">
                  <c:v>CDD</c:v>
                </c:pt>
              </c:strCache>
            </c:strRef>
          </c:cat>
          <c:val>
            <c:numRef>
              <c:f>'I-2.2 Effectif BIATSS'!$AP$5:$AP$6</c:f>
              <c:numCache>
                <c:formatCode>General</c:formatCode>
                <c:ptCount val="2"/>
                <c:pt idx="0">
                  <c:v>35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4-47C4-9BEE-85DDAB41A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674168"/>
        <c:axId val="662675480"/>
      </c:barChart>
      <c:catAx>
        <c:axId val="66267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2675480"/>
        <c:crosses val="autoZero"/>
        <c:auto val="1"/>
        <c:lblAlgn val="ctr"/>
        <c:lblOffset val="100"/>
        <c:noMultiLvlLbl val="0"/>
      </c:catAx>
      <c:valAx>
        <c:axId val="66267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267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'I-2.2 Effectif BIATSS'!$S$5</c:f>
              <c:strCache>
                <c:ptCount val="1"/>
                <c:pt idx="0">
                  <c:v>Titulaires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BIATSS'!$R$6:$R$8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f>'I-2.2 Effectif BIATSS'!$S$6:$S$8</c:f>
              <c:numCache>
                <c:formatCode>General</c:formatCode>
                <c:ptCount val="3"/>
                <c:pt idx="0">
                  <c:v>124.39999999999999</c:v>
                </c:pt>
                <c:pt idx="1">
                  <c:v>128.1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6-441A-B292-6F2D25F29117}"/>
            </c:ext>
          </c:extLst>
        </c:ser>
        <c:ser>
          <c:idx val="1"/>
          <c:order val="1"/>
          <c:tx>
            <c:strRef>
              <c:f>'I-2.2 Effectif BIATSS'!$T$5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'I-2.2 Effectif BIATSS'!$R$6:$R$8</c:f>
              <c:strCache>
                <c:ptCount val="3"/>
                <c:pt idx="0">
                  <c:v>C</c:v>
                </c:pt>
                <c:pt idx="1">
                  <c:v>B</c:v>
                </c:pt>
                <c:pt idx="2">
                  <c:v>A</c:v>
                </c:pt>
              </c:strCache>
            </c:strRef>
          </c:cat>
          <c:val>
            <c:numRef>
              <c:f>'I-2.2 Effectif BIATSS'!$T$6:$T$8</c:f>
              <c:numCache>
                <c:formatCode>General</c:formatCode>
                <c:ptCount val="3"/>
                <c:pt idx="0">
                  <c:v>113.69999999999999</c:v>
                </c:pt>
                <c:pt idx="1">
                  <c:v>90.3</c:v>
                </c:pt>
                <c:pt idx="2">
                  <c:v>88.299999999999983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B-4E59-95B5-20D5257385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40"/>
        <c:axId val="1172898832"/>
        <c:axId val="1172897848"/>
      </c:barChart>
      <c:catAx>
        <c:axId val="117289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2897848"/>
        <c:crosses val="autoZero"/>
        <c:auto val="1"/>
        <c:lblAlgn val="ctr"/>
        <c:lblOffset val="100"/>
        <c:noMultiLvlLbl val="0"/>
      </c:catAx>
      <c:valAx>
        <c:axId val="1172897848"/>
        <c:scaling>
          <c:orientation val="minMax"/>
          <c:max val="1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289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0EB-4148-A83C-C7F50D9821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EB-4148-A83C-C7F50D9821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0EB-4148-A83C-C7F50D9821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'I-2.3 Effectif Ens'!$A$21:$A$23</c:f>
              <c:strCache>
                <c:ptCount val="3"/>
                <c:pt idx="0">
                  <c:v>EC</c:v>
                </c:pt>
                <c:pt idx="1">
                  <c:v>HU</c:v>
                </c:pt>
                <c:pt idx="2">
                  <c:v>2nd degré</c:v>
                </c:pt>
              </c:strCache>
            </c:strRef>
          </c:cat>
          <c:val>
            <c:numRef>
              <c:f>'I-2.3 Effectif Ens'!$C$21:$C$23</c:f>
              <c:numCache>
                <c:formatCode>0.0%</c:formatCode>
                <c:ptCount val="3"/>
                <c:pt idx="0">
                  <c:v>0.60278207109737247</c:v>
                </c:pt>
                <c:pt idx="1">
                  <c:v>0.13446676970633695</c:v>
                </c:pt>
                <c:pt idx="2">
                  <c:v>0.26275115919629055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B-4148-A83C-C7F50D982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431888"/>
        <c:axId val="5177948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'I-2.3 Effectif Ens'!$A$21:$A$23</c15:sqref>
                        </c15:formulaRef>
                      </c:ext>
                    </c:extLst>
                    <c:strCache>
                      <c:ptCount val="3"/>
                      <c:pt idx="0">
                        <c:v>EC</c:v>
                      </c:pt>
                      <c:pt idx="1">
                        <c:v>HU</c:v>
                      </c:pt>
                      <c:pt idx="2">
                        <c:v>2nd degré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'I-2.3 Effectif Ens'!$B$21:$B$23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390</c:v>
                      </c:pt>
                      <c:pt idx="1">
                        <c:v>87</c:v>
                      </c:pt>
                      <c:pt idx="2">
                        <c:v>170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0EB-4148-A83C-C7F50D982184}"/>
                  </c:ext>
                </c:extLst>
              </c15:ser>
            </c15:filteredBarSeries>
          </c:ext>
        </c:extLst>
      </c:barChart>
      <c:catAx>
        <c:axId val="51343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794824"/>
        <c:crosses val="autoZero"/>
        <c:auto val="1"/>
        <c:lblAlgn val="ctr"/>
        <c:lblOffset val="100"/>
        <c:noMultiLvlLbl val="0"/>
      </c:catAx>
      <c:valAx>
        <c:axId val="5177948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43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u="none" strike="noStrike" baseline="0">
                <a:effectLst/>
              </a:rPr>
              <a:t>Effectifs UJM répartis par type de population et genre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'I-2.1 Effectif Global'!$P$14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D390C5D-FA75-4A0A-92E9-88B7B61D4A7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356-4EEE-83EF-A13B2A81A4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60ED990-B70F-4654-BE65-663EFA6CF0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56-4EEE-83EF-A13B2A81A4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3762F5-D6F1-41A5-AB16-1CC0990857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56-4EEE-83EF-A13B2A81A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'I-2.1 Effectif Global'!$O$15:$O$17</c:f>
              <c:strCache>
                <c:ptCount val="3"/>
                <c:pt idx="0">
                  <c:v>Enseignant</c:v>
                </c:pt>
                <c:pt idx="1">
                  <c:v>Doctorant et chercheurs ANT</c:v>
                </c:pt>
                <c:pt idx="2">
                  <c:v>BIATSS</c:v>
                </c:pt>
              </c:strCache>
            </c:strRef>
          </c:cat>
          <c:val>
            <c:numRef>
              <c:f>'I-2.1 Effectif Global'!$P$15:$P$17</c:f>
              <c:numCache>
                <c:formatCode>General</c:formatCode>
                <c:ptCount val="3"/>
                <c:pt idx="0">
                  <c:v>322</c:v>
                </c:pt>
                <c:pt idx="1">
                  <c:v>81</c:v>
                </c:pt>
                <c:pt idx="2">
                  <c:v>497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'I-2.1 Effectif Global'!$R$15:$R$17</c15:f>
                <c15:dlblRangeCache>
                  <c:ptCount val="3"/>
                  <c:pt idx="0">
                    <c:v>40%</c:v>
                  </c:pt>
                  <c:pt idx="1">
                    <c:v>45%</c:v>
                  </c:pt>
                  <c:pt idx="2">
                    <c:v>70%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356-4EEE-83EF-A13B2A81A431}"/>
            </c:ext>
          </c:extLst>
        </c:ser>
        <c:ser>
          <c:idx val="1"/>
          <c:order val="1"/>
          <c:tx>
            <c:strRef>
              <c:f>'I-2.1 Effectif Global'!$Q$14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BCEADEA-0451-4093-ACC0-8F64A383D3F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356-4EEE-83EF-A13B2A81A4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0C132E-DE86-4AA1-A761-9DEC760710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56-4EEE-83EF-A13B2A81A4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F277B1-5DDC-4564-B2F6-5EF38BC3E2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56-4EEE-83EF-A13B2A81A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'I-2.1 Effectif Global'!$O$15:$O$17</c:f>
              <c:strCache>
                <c:ptCount val="3"/>
                <c:pt idx="0">
                  <c:v>Enseignant</c:v>
                </c:pt>
                <c:pt idx="1">
                  <c:v>Doctorant et chercheurs ANT</c:v>
                </c:pt>
                <c:pt idx="2">
                  <c:v>BIATSS</c:v>
                </c:pt>
              </c:strCache>
            </c:strRef>
          </c:cat>
          <c:val>
            <c:numRef>
              <c:f>'I-2.1 Effectif Global'!$Q$15:$Q$17</c:f>
              <c:numCache>
                <c:formatCode>General</c:formatCode>
                <c:ptCount val="3"/>
                <c:pt idx="0">
                  <c:v>485</c:v>
                </c:pt>
                <c:pt idx="1">
                  <c:v>101</c:v>
                </c:pt>
                <c:pt idx="2">
                  <c:v>215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'I-2.1 Effectif Global'!$S$15:$S$17</c15:f>
                <c15:dlblRangeCache>
                  <c:ptCount val="3"/>
                  <c:pt idx="0">
                    <c:v>60%</c:v>
                  </c:pt>
                  <c:pt idx="1">
                    <c:v>55%</c:v>
                  </c:pt>
                  <c:pt idx="2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356-4EEE-83EF-A13B2A81A4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310832"/>
        <c:axId val="800303288"/>
      </c:barChart>
      <c:catAx>
        <c:axId val="80031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0303288"/>
        <c:crosses val="autoZero"/>
        <c:auto val="1"/>
        <c:lblAlgn val="ctr"/>
        <c:lblOffset val="100"/>
        <c:noMultiLvlLbl val="0"/>
      </c:catAx>
      <c:valAx>
        <c:axId val="800303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031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Header>&amp;C&amp;"Comic Sans MS,Gras"&amp;10Chapitre I - Emploi - Effectif - Démographie - Parité femmes/hommes
2. Effectifs
2.1 Effectif global au 31/12/23</c:oddHeader>
    </c:headerFooter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'I-2.3 Effectif Ens'!$C$3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158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D1-4538-BC47-23F5837858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AD1-4538-BC47-23F58378580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F6DA4E2-5B44-40C9-93CC-777FA1F7ED0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AD1-4538-BC47-23F5837858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249B63A-9665-4A5D-B8F7-E34C89D14F7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D1-4538-BC47-23F5837858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FFE3A0C-7E41-46A0-8AB7-A95A5631A2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AD1-4538-BC47-23F583785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'I-2.3 Effectif Ens'!$A$21:$A$23</c:f>
              <c:strCache>
                <c:ptCount val="3"/>
                <c:pt idx="0">
                  <c:v>EC</c:v>
                </c:pt>
                <c:pt idx="1">
                  <c:v>HU</c:v>
                </c:pt>
                <c:pt idx="2">
                  <c:v>2nd degré</c:v>
                </c:pt>
              </c:strCache>
            </c:strRef>
          </c:cat>
          <c:val>
            <c:numRef>
              <c:f>('I-2.3 Effectif Ens'!$C$7,'I-2.3 Effectif Ens'!$C$12,'I-2.3 Effectif Ens'!$C$17)</c:f>
              <c:numCache>
                <c:formatCode>General</c:formatCode>
                <c:ptCount val="3"/>
                <c:pt idx="0">
                  <c:v>162</c:v>
                </c:pt>
                <c:pt idx="1">
                  <c:v>21</c:v>
                </c:pt>
                <c:pt idx="2">
                  <c:v>72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'I-2.3 Effectif Ens'!$G$22:$G$24</c15:f>
                <c15:dlblRangeCache>
                  <c:ptCount val="3"/>
                  <c:pt idx="0">
                    <c:v>42%</c:v>
                  </c:pt>
                  <c:pt idx="1">
                    <c:v>24%</c:v>
                  </c:pt>
                  <c:pt idx="2">
                    <c:v>42%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771-4E76-AA94-9CCE6BEBB4C5}"/>
            </c:ext>
          </c:extLst>
        </c:ser>
        <c:ser>
          <c:idx val="1"/>
          <c:order val="1"/>
          <c:tx>
            <c:strRef>
              <c:f>'I-2.3 Effectif Ens'!$F$3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D1-4538-BC47-23F583785808}"/>
              </c:ext>
            </c:extLst>
          </c:dPt>
          <c:dPt>
            <c:idx val="1"/>
            <c:invertIfNegative val="0"/>
            <c:bubble3D val="0"/>
            <c:spPr>
              <a:solidFill>
                <a:srgbClr val="E669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1-4538-BC47-23F583785808}"/>
              </c:ext>
            </c:extLst>
          </c:dPt>
          <c:dPt>
            <c:idx val="2"/>
            <c:invertIfNegative val="0"/>
            <c:bubble3D val="0"/>
            <c:spPr>
              <a:solidFill>
                <a:srgbClr val="F19B6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1-4538-BC47-23F58378580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24D2DC-DB5D-4A13-B2EC-19CF0FD3F0E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AD1-4538-BC47-23F5837858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FDE6D7-15DA-41B6-89DA-4D2E5E47DB2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D1-4538-BC47-23F5837858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FD7BD4-66EE-4FCB-A44C-99A193689A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D1-4538-BC47-23F583785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'I-2.3 Effectif Ens'!$A$21:$A$23</c:f>
              <c:strCache>
                <c:ptCount val="3"/>
                <c:pt idx="0">
                  <c:v>EC</c:v>
                </c:pt>
                <c:pt idx="1">
                  <c:v>HU</c:v>
                </c:pt>
                <c:pt idx="2">
                  <c:v>2nd degré</c:v>
                </c:pt>
              </c:strCache>
            </c:strRef>
          </c:cat>
          <c:val>
            <c:numRef>
              <c:f>('I-2.3 Effectif Ens'!$F$7,'I-2.3 Effectif Ens'!$F$12,'I-2.3 Effectif Ens'!$F$17)</c:f>
              <c:numCache>
                <c:formatCode>General</c:formatCode>
                <c:ptCount val="3"/>
                <c:pt idx="0">
                  <c:v>228</c:v>
                </c:pt>
                <c:pt idx="1">
                  <c:v>66</c:v>
                </c:pt>
                <c:pt idx="2">
                  <c:v>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'I-2.3 Effectif Ens'!$H$22:$H$24</c15:f>
                <c15:dlblRangeCache>
                  <c:ptCount val="3"/>
                  <c:pt idx="0">
                    <c:v>58%</c:v>
                  </c:pt>
                  <c:pt idx="1">
                    <c:v>76%</c:v>
                  </c:pt>
                  <c:pt idx="2">
                    <c:v>58%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E771-4E76-AA94-9CCE6BEBB4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2168672"/>
        <c:axId val="662676136"/>
      </c:barChart>
      <c:catAx>
        <c:axId val="512168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2676136"/>
        <c:crosses val="autoZero"/>
        <c:auto val="1"/>
        <c:lblAlgn val="ctr"/>
        <c:lblOffset val="100"/>
        <c:noMultiLvlLbl val="0"/>
      </c:catAx>
      <c:valAx>
        <c:axId val="66267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16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'I-2.3 Effectif Ens'!$A$36:$A$45</c:f>
              <c:strCache>
                <c:ptCount val="10"/>
                <c:pt idx="0">
                  <c:v>PR</c:v>
                </c:pt>
                <c:pt idx="1">
                  <c:v>MCF</c:v>
                </c:pt>
                <c:pt idx="2">
                  <c:v>PUPH</c:v>
                </c:pt>
                <c:pt idx="3">
                  <c:v>PUMG</c:v>
                </c:pt>
                <c:pt idx="4">
                  <c:v>MCPH</c:v>
                </c:pt>
                <c:pt idx="5">
                  <c:v>MCMG</c:v>
                </c:pt>
                <c:pt idx="6">
                  <c:v>AGREGE</c:v>
                </c:pt>
                <c:pt idx="7">
                  <c:v>CERTIFIE</c:v>
                </c:pt>
                <c:pt idx="8">
                  <c:v>PLP</c:v>
                </c:pt>
                <c:pt idx="9">
                  <c:v>PEPS</c:v>
                </c:pt>
              </c:strCache>
            </c:strRef>
          </c:cat>
          <c:val>
            <c:numRef>
              <c:f>'I-2.3 Effectif Ens'!$C$36:$C$45</c:f>
              <c:numCache>
                <c:formatCode>0.0%</c:formatCode>
                <c:ptCount val="10"/>
                <c:pt idx="0">
                  <c:v>0.17928902627511592</c:v>
                </c:pt>
                <c:pt idx="1">
                  <c:v>0.42812982998454407</c:v>
                </c:pt>
                <c:pt idx="2">
                  <c:v>0.1035548686244204</c:v>
                </c:pt>
                <c:pt idx="3">
                  <c:v>1.5455950540958269E-3</c:v>
                </c:pt>
                <c:pt idx="4">
                  <c:v>2.9366306027820709E-2</c:v>
                </c:pt>
                <c:pt idx="5">
                  <c:v>4.6367851622874804E-3</c:v>
                </c:pt>
                <c:pt idx="6">
                  <c:v>0.11746522411128284</c:v>
                </c:pt>
                <c:pt idx="7">
                  <c:v>0.10664605873261206</c:v>
                </c:pt>
                <c:pt idx="8">
                  <c:v>1.2364760432766615E-2</c:v>
                </c:pt>
                <c:pt idx="9">
                  <c:v>1.7001545595054096E-2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1-4B21-92E6-AD09FB28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5678608"/>
        <c:axId val="665678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'I-2.3 Effectif Ens'!$A$36:$A$45</c15:sqref>
                        </c15:formulaRef>
                      </c:ext>
                    </c:extLst>
                    <c:strCache>
                      <c:ptCount val="10"/>
                      <c:pt idx="0">
                        <c:v>PR</c:v>
                      </c:pt>
                      <c:pt idx="1">
                        <c:v>MCF</c:v>
                      </c:pt>
                      <c:pt idx="2">
                        <c:v>PUPH</c:v>
                      </c:pt>
                      <c:pt idx="3">
                        <c:v>PUMG</c:v>
                      </c:pt>
                      <c:pt idx="4">
                        <c:v>MCPH</c:v>
                      </c:pt>
                      <c:pt idx="5">
                        <c:v>MCMG</c:v>
                      </c:pt>
                      <c:pt idx="6">
                        <c:v>AGREGE</c:v>
                      </c:pt>
                      <c:pt idx="7">
                        <c:v>CERTIFIE</c:v>
                      </c:pt>
                      <c:pt idx="8">
                        <c:v>PLP</c:v>
                      </c:pt>
                      <c:pt idx="9">
                        <c:v>PEPS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'I-2.3 Effectif Ens'!$B$36:$B$45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116</c:v>
                      </c:pt>
                      <c:pt idx="1">
                        <c:v>277</c:v>
                      </c:pt>
                      <c:pt idx="2">
                        <c:v>67</c:v>
                      </c:pt>
                      <c:pt idx="3">
                        <c:v>1</c:v>
                      </c:pt>
                      <c:pt idx="4">
                        <c:v>19</c:v>
                      </c:pt>
                      <c:pt idx="5">
                        <c:v>3</c:v>
                      </c:pt>
                      <c:pt idx="6">
                        <c:v>76</c:v>
                      </c:pt>
                      <c:pt idx="7">
                        <c:v>69</c:v>
                      </c:pt>
                      <c:pt idx="8">
                        <c:v>8</c:v>
                      </c:pt>
                      <c:pt idx="9">
                        <c:v>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81-4B21-92E6-AD09FB286684}"/>
                  </c:ext>
                </c:extLst>
              </c15:ser>
            </c15:filteredBarSeries>
          </c:ext>
        </c:extLst>
      </c:barChart>
      <c:catAx>
        <c:axId val="66567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678936"/>
        <c:crosses val="autoZero"/>
        <c:auto val="1"/>
        <c:lblAlgn val="ctr"/>
        <c:lblOffset val="100"/>
        <c:noMultiLvlLbl val="0"/>
      </c:catAx>
      <c:valAx>
        <c:axId val="66567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67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2B-463E-8219-B5CFD4D19B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2B-463E-8219-B5CFD4D19B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B2B-463E-8219-B5CFD4D19B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B2B-463E-8219-B5CFD4D19B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'I-2.3 Effectif Ens'!$A$51:$A$54</c:f>
              <c:strCache>
                <c:ptCount val="4"/>
                <c:pt idx="0">
                  <c:v>Droit, Economie, Gestion</c:v>
                </c:pt>
                <c:pt idx="1">
                  <c:v>Lettres et Sciences Humaines</c:v>
                </c:pt>
                <c:pt idx="2">
                  <c:v>Pluridisciplinaire</c:v>
                </c:pt>
                <c:pt idx="3">
                  <c:v>Sciences</c:v>
                </c:pt>
              </c:strCache>
            </c:strRef>
          </c:cat>
          <c:val>
            <c:numRef>
              <c:f>'I-2.3 Effectif Ens'!$B$51:$B$54</c:f>
              <c:numCache>
                <c:formatCode>General</c:formatCode>
                <c:ptCount val="4"/>
                <c:pt idx="0">
                  <c:v>95</c:v>
                </c:pt>
                <c:pt idx="1">
                  <c:v>98</c:v>
                </c:pt>
                <c:pt idx="2">
                  <c:v>26</c:v>
                </c:pt>
                <c:pt idx="3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D-4782-AC04-4037F45364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37-4CE0-AD0E-BA7A1E753A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37-4CE0-AD0E-BA7A1E753A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A37-4CE0-AD0E-BA7A1E753A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A37-4CE0-AD0E-BA7A1E753A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A37-4CE0-AD0E-BA7A1E753A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'I-2.3 Effectif Ens'!$G$53:$G$57</c:f>
              <c:strCache>
                <c:ptCount val="5"/>
                <c:pt idx="0">
                  <c:v>Droit, Economie, Gestion</c:v>
                </c:pt>
                <c:pt idx="1">
                  <c:v>Lettres et Sciences Humaines</c:v>
                </c:pt>
                <c:pt idx="2">
                  <c:v>Médecince</c:v>
                </c:pt>
                <c:pt idx="3">
                  <c:v>Pluridisciplinaire</c:v>
                </c:pt>
                <c:pt idx="4">
                  <c:v>Sciences</c:v>
                </c:pt>
              </c:strCache>
            </c:strRef>
          </c:cat>
          <c:val>
            <c:numRef>
              <c:f>'I-2.3 Effectif Ens'!$H$53:$H$57</c:f>
              <c:numCache>
                <c:formatCode>General</c:formatCode>
                <c:ptCount val="5"/>
                <c:pt idx="0">
                  <c:v>95</c:v>
                </c:pt>
                <c:pt idx="1">
                  <c:v>98</c:v>
                </c:pt>
                <c:pt idx="2">
                  <c:v>90</c:v>
                </c:pt>
                <c:pt idx="3">
                  <c:v>26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E-4725-B354-E763C547D2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'I-2.3 Effectif Ens'!$M$38:$M$44</c:f>
              <c:strCache>
                <c:ptCount val="7"/>
                <c:pt idx="0">
                  <c:v>doctorants</c:v>
                </c:pt>
                <c:pt idx="1">
                  <c:v>Chercheurs ANT</c:v>
                </c:pt>
                <c:pt idx="2">
                  <c:v>Lecteurs</c:v>
                </c:pt>
                <c:pt idx="3">
                  <c:v>2nd degré</c:v>
                </c:pt>
                <c:pt idx="4">
                  <c:v>HU</c:v>
                </c:pt>
                <c:pt idx="5">
                  <c:v>ATER</c:v>
                </c:pt>
                <c:pt idx="6">
                  <c:v>EC</c:v>
                </c:pt>
              </c:strCache>
            </c:strRef>
          </c:cat>
          <c:val>
            <c:numRef>
              <c:f>'I-2.3 Effectif Ens'!$Q$38:$Q$44</c:f>
              <c:numCache>
                <c:formatCode>0.0%</c:formatCode>
                <c:ptCount val="7"/>
                <c:pt idx="0">
                  <c:v>0.33333333333333331</c:v>
                </c:pt>
                <c:pt idx="1">
                  <c:v>0.19883040935672514</c:v>
                </c:pt>
                <c:pt idx="2">
                  <c:v>2.6315789473684209E-2</c:v>
                </c:pt>
                <c:pt idx="3">
                  <c:v>0.1023391812865497</c:v>
                </c:pt>
                <c:pt idx="4">
                  <c:v>0.16959064327485379</c:v>
                </c:pt>
                <c:pt idx="5">
                  <c:v>9.9415204678362568E-2</c:v>
                </c:pt>
                <c:pt idx="6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6-4B22-AFDD-0936215C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8813416"/>
        <c:axId val="708810792"/>
      </c:barChart>
      <c:catAx>
        <c:axId val="708813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8810792"/>
        <c:crosses val="autoZero"/>
        <c:auto val="1"/>
        <c:lblAlgn val="ctr"/>
        <c:lblOffset val="100"/>
        <c:noMultiLvlLbl val="0"/>
      </c:catAx>
      <c:valAx>
        <c:axId val="708810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881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'I-2.3 Effectif Ens'!$O$3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'I-2.3 Effectif Ens'!$M$38:$M$44</c:f>
              <c:strCache>
                <c:ptCount val="7"/>
                <c:pt idx="0">
                  <c:v>doctorants</c:v>
                </c:pt>
                <c:pt idx="1">
                  <c:v>Chercheurs ANT</c:v>
                </c:pt>
                <c:pt idx="2">
                  <c:v>Lecteurs</c:v>
                </c:pt>
                <c:pt idx="3">
                  <c:v>2nd degré</c:v>
                </c:pt>
                <c:pt idx="4">
                  <c:v>HU</c:v>
                </c:pt>
                <c:pt idx="5">
                  <c:v>ATER</c:v>
                </c:pt>
                <c:pt idx="6">
                  <c:v>EC</c:v>
                </c:pt>
              </c:strCache>
            </c:strRef>
          </c:cat>
          <c:val>
            <c:numRef>
              <c:f>'I-2.3 Effectif Ens'!$N$38:$N$44</c:f>
              <c:numCache>
                <c:formatCode>General</c:formatCode>
                <c:ptCount val="7"/>
                <c:pt idx="0">
                  <c:v>47</c:v>
                </c:pt>
                <c:pt idx="1">
                  <c:v>34</c:v>
                </c:pt>
                <c:pt idx="2">
                  <c:v>4</c:v>
                </c:pt>
                <c:pt idx="3">
                  <c:v>20</c:v>
                </c:pt>
                <c:pt idx="4">
                  <c:v>24</c:v>
                </c:pt>
                <c:pt idx="5">
                  <c:v>12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24B-ABC9-8996028AD6B0}"/>
            </c:ext>
          </c:extLst>
        </c:ser>
        <c:ser>
          <c:idx val="1"/>
          <c:order val="1"/>
          <c:tx>
            <c:strRef>
              <c:f>'I-2.3 Effectif Ens'!$R$3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'I-2.3 Effectif Ens'!$M$38:$M$44</c:f>
              <c:strCache>
                <c:ptCount val="7"/>
                <c:pt idx="0">
                  <c:v>doctorants</c:v>
                </c:pt>
                <c:pt idx="1">
                  <c:v>Chercheurs ANT</c:v>
                </c:pt>
                <c:pt idx="2">
                  <c:v>Lecteurs</c:v>
                </c:pt>
                <c:pt idx="3">
                  <c:v>2nd degré</c:v>
                </c:pt>
                <c:pt idx="4">
                  <c:v>HU</c:v>
                </c:pt>
                <c:pt idx="5">
                  <c:v>ATER</c:v>
                </c:pt>
                <c:pt idx="6">
                  <c:v>EC</c:v>
                </c:pt>
              </c:strCache>
            </c:strRef>
          </c:cat>
          <c:val>
            <c:numRef>
              <c:f>'I-2.3 Effectif Ens'!$O$38:$O$44</c:f>
              <c:numCache>
                <c:formatCode>General</c:formatCode>
                <c:ptCount val="7"/>
                <c:pt idx="0">
                  <c:v>67</c:v>
                </c:pt>
                <c:pt idx="1">
                  <c:v>34</c:v>
                </c:pt>
                <c:pt idx="2">
                  <c:v>5</c:v>
                </c:pt>
                <c:pt idx="3">
                  <c:v>15</c:v>
                </c:pt>
                <c:pt idx="4">
                  <c:v>34</c:v>
                </c:pt>
                <c:pt idx="5">
                  <c:v>22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6-424B-ABC9-8996028AD6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8701896"/>
        <c:axId val="708702880"/>
      </c:barChart>
      <c:catAx>
        <c:axId val="708701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8702880"/>
        <c:crosses val="autoZero"/>
        <c:auto val="1"/>
        <c:lblAlgn val="ctr"/>
        <c:lblOffset val="100"/>
        <c:noMultiLvlLbl val="0"/>
      </c:catAx>
      <c:valAx>
        <c:axId val="70870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870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'I-2.4 Ct étu - stages'!$A$5:$A$12</c:f>
              <c:strCache>
                <c:ptCount val="8"/>
                <c:pt idx="0">
                  <c:v>Aide insertion professionnelle</c:v>
                </c:pt>
                <c:pt idx="1">
                  <c:v>Soutien informatique</c:v>
                </c:pt>
                <c:pt idx="2">
                  <c:v>Appui aux personnels bibliothèque</c:v>
                </c:pt>
                <c:pt idx="3">
                  <c:v>Tutorat</c:v>
                </c:pt>
                <c:pt idx="4">
                  <c:v>Accueil et assistance étudiants en situation de handicap</c:v>
                </c:pt>
                <c:pt idx="5">
                  <c:v>Tutorat PRL</c:v>
                </c:pt>
                <c:pt idx="6">
                  <c:v>Accueil des étudiants</c:v>
                </c:pt>
                <c:pt idx="7">
                  <c:v>Promotion offre de formation</c:v>
                </c:pt>
              </c:strCache>
            </c:strRef>
          </c:cat>
          <c:val>
            <c:numRef>
              <c:f>'I-2.4 Ct étu - stages'!$B$5:$B$12</c:f>
              <c:numCache>
                <c:formatCode>General</c:formatCode>
                <c:ptCount val="8"/>
                <c:pt idx="0">
                  <c:v>5</c:v>
                </c:pt>
                <c:pt idx="1">
                  <c:v>24</c:v>
                </c:pt>
                <c:pt idx="2">
                  <c:v>65</c:v>
                </c:pt>
                <c:pt idx="3">
                  <c:v>77</c:v>
                </c:pt>
                <c:pt idx="4">
                  <c:v>127</c:v>
                </c:pt>
                <c:pt idx="5">
                  <c:v>170</c:v>
                </c:pt>
                <c:pt idx="6">
                  <c:v>233</c:v>
                </c:pt>
                <c:pt idx="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C-4123-9D81-1AB9A773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9398096"/>
        <c:axId val="979397768"/>
      </c:barChart>
      <c:catAx>
        <c:axId val="97939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9397768"/>
        <c:crosses val="autoZero"/>
        <c:auto val="1"/>
        <c:lblAlgn val="ctr"/>
        <c:lblOffset val="100"/>
        <c:noMultiLvlLbl val="0"/>
      </c:catAx>
      <c:valAx>
        <c:axId val="979397768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939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'I-2.4 Ct étu - stages'!$F$5:$F$12</c:f>
              <c:strCache>
                <c:ptCount val="8"/>
                <c:pt idx="0">
                  <c:v>Aide insertion professionnelle</c:v>
                </c:pt>
                <c:pt idx="1">
                  <c:v>Soutien informatique</c:v>
                </c:pt>
                <c:pt idx="2">
                  <c:v>Tutorat</c:v>
                </c:pt>
                <c:pt idx="3">
                  <c:v>Promotion offre de formation</c:v>
                </c:pt>
                <c:pt idx="4">
                  <c:v>Accueil et assistance étudiants en situation de handicap</c:v>
                </c:pt>
                <c:pt idx="5">
                  <c:v>Accueil des étudiants</c:v>
                </c:pt>
                <c:pt idx="6">
                  <c:v>Tutorat PRL</c:v>
                </c:pt>
                <c:pt idx="7">
                  <c:v>Appui aux personnels bibliothèque</c:v>
                </c:pt>
              </c:strCache>
            </c:strRef>
          </c:cat>
          <c:val>
            <c:numRef>
              <c:f>'I-2.4 Ct étu - stages'!$G$5:$G$12</c:f>
              <c:numCache>
                <c:formatCode>General</c:formatCode>
                <c:ptCount val="8"/>
                <c:pt idx="0">
                  <c:v>327</c:v>
                </c:pt>
                <c:pt idx="1">
                  <c:v>549</c:v>
                </c:pt>
                <c:pt idx="2">
                  <c:v>2244</c:v>
                </c:pt>
                <c:pt idx="3">
                  <c:v>3129</c:v>
                </c:pt>
                <c:pt idx="4">
                  <c:v>3652</c:v>
                </c:pt>
                <c:pt idx="5">
                  <c:v>3997</c:v>
                </c:pt>
                <c:pt idx="6">
                  <c:v>6826</c:v>
                </c:pt>
                <c:pt idx="7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CF3-9AB8-AF6F2D4A1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7063752"/>
        <c:axId val="1197060800"/>
      </c:barChart>
      <c:catAx>
        <c:axId val="1197063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060800"/>
        <c:crosses val="autoZero"/>
        <c:auto val="1"/>
        <c:lblAlgn val="ctr"/>
        <c:lblOffset val="100"/>
        <c:noMultiLvlLbl val="0"/>
      </c:catAx>
      <c:valAx>
        <c:axId val="1197060800"/>
        <c:scaling>
          <c:orientation val="minMax"/>
          <c:max val="9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0637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'I-2.4 Ct étu - stages'!$D$36:$D$48</c:f>
              <c:strCache>
                <c:ptCount val="13"/>
                <c:pt idx="0">
                  <c:v>DEPT</c:v>
                </c:pt>
                <c:pt idx="1">
                  <c:v>UFR ALL</c:v>
                </c:pt>
                <c:pt idx="2">
                  <c:v>UFR Droit</c:v>
                </c:pt>
                <c:pt idx="3">
                  <c:v>IAE</c:v>
                </c:pt>
                <c:pt idx="4">
                  <c:v>Télécom</c:v>
                </c:pt>
                <c:pt idx="5">
                  <c:v>SCD</c:v>
                </c:pt>
                <c:pt idx="6">
                  <c:v>UFR SHS</c:v>
                </c:pt>
                <c:pt idx="7">
                  <c:v>IUT Saint Etienne</c:v>
                </c:pt>
                <c:pt idx="8">
                  <c:v>SE²</c:v>
                </c:pt>
                <c:pt idx="9">
                  <c:v>IUT Roanne</c:v>
                </c:pt>
                <c:pt idx="10">
                  <c:v>Services Centraux</c:v>
                </c:pt>
                <c:pt idx="11">
                  <c:v>UFR Médecine</c:v>
                </c:pt>
                <c:pt idx="12">
                  <c:v>UFR Sciences</c:v>
                </c:pt>
              </c:strCache>
            </c:strRef>
          </c:cat>
          <c:val>
            <c:numRef>
              <c:f>'I-2.4 Ct étu - stages'!$E$36:$E$48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27</c:v>
                </c:pt>
                <c:pt idx="10">
                  <c:v>38</c:v>
                </c:pt>
                <c:pt idx="11">
                  <c:v>83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3-4265-BD6B-98E8AA14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1853592"/>
        <c:axId val="611853920"/>
      </c:barChart>
      <c:catAx>
        <c:axId val="61185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1853920"/>
        <c:crosses val="autoZero"/>
        <c:auto val="1"/>
        <c:lblAlgn val="ctr"/>
        <c:lblOffset val="100"/>
        <c:noMultiLvlLbl val="0"/>
      </c:catAx>
      <c:valAx>
        <c:axId val="61185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185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âges'!$C$9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âges'!$B$10:$B$20</c:f>
              <c:strCache>
                <c:ptCount val="11"/>
                <c:pt idx="0">
                  <c:v>&lt; 20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âges'!$C$10:$C$20</c:f>
              <c:numCache>
                <c:formatCode>General</c:formatCode>
                <c:ptCount val="11"/>
                <c:pt idx="0">
                  <c:v>1</c:v>
                </c:pt>
                <c:pt idx="1">
                  <c:v>24</c:v>
                </c:pt>
                <c:pt idx="2">
                  <c:v>90</c:v>
                </c:pt>
                <c:pt idx="3">
                  <c:v>91</c:v>
                </c:pt>
                <c:pt idx="4">
                  <c:v>69</c:v>
                </c:pt>
                <c:pt idx="5">
                  <c:v>98</c:v>
                </c:pt>
                <c:pt idx="6">
                  <c:v>102</c:v>
                </c:pt>
                <c:pt idx="7">
                  <c:v>118</c:v>
                </c:pt>
                <c:pt idx="8">
                  <c:v>117</c:v>
                </c:pt>
                <c:pt idx="9">
                  <c:v>75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C-4314-A96E-D41C52C85BDC}"/>
            </c:ext>
          </c:extLst>
        </c:ser>
        <c:ser>
          <c:idx val="1"/>
          <c:order val="1"/>
          <c:tx>
            <c:strRef>
              <c:f>'I-3 Pyramides âges'!$D$9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âges'!$B$10:$B$20</c:f>
              <c:strCache>
                <c:ptCount val="11"/>
                <c:pt idx="0">
                  <c:v>&lt; 20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âges'!$D$10:$D$20</c:f>
              <c:numCache>
                <c:formatCode>General</c:formatCode>
                <c:ptCount val="11"/>
                <c:pt idx="0">
                  <c:v>-1</c:v>
                </c:pt>
                <c:pt idx="1">
                  <c:v>-30</c:v>
                </c:pt>
                <c:pt idx="2">
                  <c:v>-100</c:v>
                </c:pt>
                <c:pt idx="3">
                  <c:v>-96</c:v>
                </c:pt>
                <c:pt idx="4">
                  <c:v>-108</c:v>
                </c:pt>
                <c:pt idx="5">
                  <c:v>-110</c:v>
                </c:pt>
                <c:pt idx="6">
                  <c:v>-123</c:v>
                </c:pt>
                <c:pt idx="7">
                  <c:v>-140</c:v>
                </c:pt>
                <c:pt idx="8">
                  <c:v>-105</c:v>
                </c:pt>
                <c:pt idx="9">
                  <c:v>-79</c:v>
                </c:pt>
                <c:pt idx="10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C-4314-A96E-D41C52C8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41766856"/>
        <c:axId val="341767840"/>
      </c:barChart>
      <c:catAx>
        <c:axId val="341766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67840"/>
        <c:crosses val="autoZero"/>
        <c:auto val="1"/>
        <c:lblAlgn val="ctr"/>
        <c:lblOffset val="100"/>
        <c:noMultiLvlLbl val="0"/>
      </c:catAx>
      <c:valAx>
        <c:axId val="34176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6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u="none" strike="noStrike" baseline="0">
                <a:effectLst/>
              </a:rPr>
              <a:t>Effectifs UJM répartis par genre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033033033033031E-2"/>
          <c:y val="0.18704453441295546"/>
          <c:w val="0.9339717170114441"/>
          <c:h val="0.633423119508420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DE-47DE-BC04-238A68B0A0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DE-47DE-BC04-238A68B0A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'I-2.1 Effectif Global'!$W$5:$X$5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'I-2.1 Effectif Global'!$W$6:$X$6</c:f>
              <c:numCache>
                <c:formatCode>General</c:formatCode>
                <c:ptCount val="2"/>
                <c:pt idx="0">
                  <c:v>900</c:v>
                </c:pt>
                <c:pt idx="1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C-4E51-8E33-F782A52991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âges'!$H$9:$H$11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âges'!$I$9:$I$11</c:f>
              <c:numCache>
                <c:formatCode>General</c:formatCode>
                <c:ptCount val="3"/>
                <c:pt idx="0">
                  <c:v>246</c:v>
                </c:pt>
                <c:pt idx="1">
                  <c:v>797</c:v>
                </c:pt>
                <c:pt idx="2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9786076245419825"/>
          <c:h val="7.575810599432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âges'!$C$31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âges'!$B$32:$B$41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âges'!$C$32:$C$41</c:f>
              <c:numCache>
                <c:formatCode>General</c:formatCode>
                <c:ptCount val="10"/>
                <c:pt idx="0">
                  <c:v>16</c:v>
                </c:pt>
                <c:pt idx="1">
                  <c:v>73</c:v>
                </c:pt>
                <c:pt idx="2">
                  <c:v>75</c:v>
                </c:pt>
                <c:pt idx="3">
                  <c:v>47</c:v>
                </c:pt>
                <c:pt idx="4">
                  <c:v>68</c:v>
                </c:pt>
                <c:pt idx="5">
                  <c:v>70</c:v>
                </c:pt>
                <c:pt idx="6">
                  <c:v>79</c:v>
                </c:pt>
                <c:pt idx="7">
                  <c:v>79</c:v>
                </c:pt>
                <c:pt idx="8">
                  <c:v>63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C-4314-A96E-D41C52C85BDC}"/>
            </c:ext>
          </c:extLst>
        </c:ser>
        <c:ser>
          <c:idx val="1"/>
          <c:order val="1"/>
          <c:tx>
            <c:strRef>
              <c:f>'I-3 Pyramides âges'!$D$31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âges'!$B$32:$B$41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âges'!$D$32:$D$41</c:f>
              <c:numCache>
                <c:formatCode>General</c:formatCode>
                <c:ptCount val="10"/>
                <c:pt idx="0">
                  <c:v>-14</c:v>
                </c:pt>
                <c:pt idx="1">
                  <c:v>-58</c:v>
                </c:pt>
                <c:pt idx="2">
                  <c:v>-49</c:v>
                </c:pt>
                <c:pt idx="3">
                  <c:v>-49</c:v>
                </c:pt>
                <c:pt idx="4">
                  <c:v>-44</c:v>
                </c:pt>
                <c:pt idx="5">
                  <c:v>-53</c:v>
                </c:pt>
                <c:pt idx="6">
                  <c:v>-49</c:v>
                </c:pt>
                <c:pt idx="7">
                  <c:v>-49</c:v>
                </c:pt>
                <c:pt idx="8">
                  <c:v>-34</c:v>
                </c:pt>
                <c:pt idx="9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C-4314-A96E-D41C52C85BD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341766856"/>
        <c:axId val="341767840"/>
      </c:barChart>
      <c:catAx>
        <c:axId val="341766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67840"/>
        <c:crosses val="autoZero"/>
        <c:auto val="1"/>
        <c:lblAlgn val="ctr"/>
        <c:lblOffset val="100"/>
        <c:noMultiLvlLbl val="0"/>
      </c:catAx>
      <c:valAx>
        <c:axId val="34176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6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âges'!$J$32:$J$34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âges'!$K$32:$K$34</c:f>
              <c:numCache>
                <c:formatCode>General</c:formatCode>
                <c:ptCount val="3"/>
                <c:pt idx="0">
                  <c:v>72</c:v>
                </c:pt>
                <c:pt idx="1">
                  <c:v>195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9786076245419825"/>
          <c:h val="7.575810599432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D92D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9751C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âges'!$I$58:$I$60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âges'!$J$58:$J$60</c:f>
              <c:numCache>
                <c:formatCode>General</c:formatCode>
                <c:ptCount val="3"/>
                <c:pt idx="0">
                  <c:v>85</c:v>
                </c:pt>
                <c:pt idx="1">
                  <c:v>343</c:v>
                </c:pt>
                <c:pt idx="2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9786076245419825"/>
          <c:h val="7.575810599432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âges'!$C$55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33-4C47-9B83-E4C1E47D8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âges'!$B$56:$B$66</c:f>
              <c:strCache>
                <c:ptCount val="11"/>
                <c:pt idx="0">
                  <c:v>&lt; 20 ans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âges'!$C$56:$C$66</c:f>
              <c:numCache>
                <c:formatCode>General</c:formatCode>
                <c:ptCount val="11"/>
                <c:pt idx="0">
                  <c:v>1</c:v>
                </c:pt>
                <c:pt idx="1">
                  <c:v>8</c:v>
                </c:pt>
                <c:pt idx="2">
                  <c:v>17</c:v>
                </c:pt>
                <c:pt idx="3">
                  <c:v>16</c:v>
                </c:pt>
                <c:pt idx="4">
                  <c:v>22</c:v>
                </c:pt>
                <c:pt idx="5">
                  <c:v>30</c:v>
                </c:pt>
                <c:pt idx="6">
                  <c:v>32</c:v>
                </c:pt>
                <c:pt idx="7">
                  <c:v>39</c:v>
                </c:pt>
                <c:pt idx="8">
                  <c:v>38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9-4F38-B0CD-8572B07159D2}"/>
            </c:ext>
          </c:extLst>
        </c:ser>
        <c:ser>
          <c:idx val="1"/>
          <c:order val="1"/>
          <c:tx>
            <c:strRef>
              <c:f>'I-3 Pyramides âges'!$D$55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âges'!$B$56:$B$66</c:f>
              <c:strCache>
                <c:ptCount val="11"/>
                <c:pt idx="0">
                  <c:v>&lt; 20 ans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âges'!$D$56:$D$66</c:f>
              <c:numCache>
                <c:formatCode>General</c:formatCode>
                <c:ptCount val="11"/>
                <c:pt idx="0">
                  <c:v>-1</c:v>
                </c:pt>
                <c:pt idx="1">
                  <c:v>-16</c:v>
                </c:pt>
                <c:pt idx="2">
                  <c:v>-42</c:v>
                </c:pt>
                <c:pt idx="3">
                  <c:v>-47</c:v>
                </c:pt>
                <c:pt idx="4">
                  <c:v>-60</c:v>
                </c:pt>
                <c:pt idx="5">
                  <c:v>-66</c:v>
                </c:pt>
                <c:pt idx="6">
                  <c:v>-70</c:v>
                </c:pt>
                <c:pt idx="7">
                  <c:v>-91</c:v>
                </c:pt>
                <c:pt idx="8">
                  <c:v>-56</c:v>
                </c:pt>
                <c:pt idx="9">
                  <c:v>-45</c:v>
                </c:pt>
                <c:pt idx="1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9-4F38-B0CD-8572B071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1834096"/>
        <c:axId val="341828848"/>
      </c:barChart>
      <c:catAx>
        <c:axId val="34183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828848"/>
        <c:crosses val="autoZero"/>
        <c:auto val="1"/>
        <c:lblAlgn val="ctr"/>
        <c:lblOffset val="100"/>
        <c:noMultiLvlLbl val="0"/>
      </c:catAx>
      <c:valAx>
        <c:axId val="3418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83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âges'!$C$80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âges'!$B$81:$B$90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âges'!$C$81:$C$90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17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F-4877-A8E1-A31491C713F2}"/>
            </c:ext>
          </c:extLst>
        </c:ser>
        <c:ser>
          <c:idx val="1"/>
          <c:order val="1"/>
          <c:tx>
            <c:strRef>
              <c:f>'I-3 Pyramides âges'!$D$80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âges'!$B$81:$B$90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âges'!$D$81:$D$90</c:f>
              <c:numCache>
                <c:formatCode>General</c:formatCode>
                <c:ptCount val="10"/>
                <c:pt idx="0">
                  <c:v>-4</c:v>
                </c:pt>
                <c:pt idx="1">
                  <c:v>-10</c:v>
                </c:pt>
                <c:pt idx="2">
                  <c:v>-12</c:v>
                </c:pt>
                <c:pt idx="3">
                  <c:v>-20</c:v>
                </c:pt>
                <c:pt idx="4">
                  <c:v>-17</c:v>
                </c:pt>
                <c:pt idx="5">
                  <c:v>-24</c:v>
                </c:pt>
                <c:pt idx="6">
                  <c:v>-26</c:v>
                </c:pt>
                <c:pt idx="7">
                  <c:v>-11</c:v>
                </c:pt>
                <c:pt idx="8">
                  <c:v>-13</c:v>
                </c:pt>
                <c:pt idx="9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F-4877-A8E1-A31491C713F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41770464"/>
        <c:axId val="341772104"/>
      </c:barChart>
      <c:catAx>
        <c:axId val="34177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2104"/>
        <c:crosses val="autoZero"/>
        <c:auto val="1"/>
        <c:lblAlgn val="ctr"/>
        <c:lblOffset val="100"/>
        <c:noMultiLvlLbl val="0"/>
      </c:catAx>
      <c:valAx>
        <c:axId val="3417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âges'!$C$103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âges'!$B$104:$B$113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âges'!$C$104:$C$113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F-4877-A8E1-A31491C713F2}"/>
            </c:ext>
          </c:extLst>
        </c:ser>
        <c:ser>
          <c:idx val="1"/>
          <c:order val="1"/>
          <c:tx>
            <c:strRef>
              <c:f>'I-3 Pyramides âges'!$D$103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âges'!$B$104:$B$113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'I-3 Pyramides âges'!$D$104:$D$113</c:f>
              <c:numCache>
                <c:formatCode>General</c:formatCode>
                <c:ptCount val="10"/>
                <c:pt idx="0">
                  <c:v>-4</c:v>
                </c:pt>
                <c:pt idx="1">
                  <c:v>-10</c:v>
                </c:pt>
                <c:pt idx="2">
                  <c:v>-15</c:v>
                </c:pt>
                <c:pt idx="3">
                  <c:v>-17</c:v>
                </c:pt>
                <c:pt idx="4">
                  <c:v>-31</c:v>
                </c:pt>
                <c:pt idx="5">
                  <c:v>-19</c:v>
                </c:pt>
                <c:pt idx="6">
                  <c:v>-36</c:v>
                </c:pt>
                <c:pt idx="7">
                  <c:v>-22</c:v>
                </c:pt>
                <c:pt idx="8">
                  <c:v>-14</c:v>
                </c:pt>
                <c:pt idx="9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F-4877-A8E1-A31491C713F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41770464"/>
        <c:axId val="341772104"/>
      </c:barChart>
      <c:catAx>
        <c:axId val="34177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2104"/>
        <c:crosses val="autoZero"/>
        <c:auto val="1"/>
        <c:lblAlgn val="ctr"/>
        <c:lblOffset val="100"/>
        <c:noMultiLvlLbl val="0"/>
      </c:catAx>
      <c:valAx>
        <c:axId val="3417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'I-3 Pyramides âges'!$C$127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âges'!$B$128:$B$138</c:f>
              <c:strCache>
                <c:ptCount val="11"/>
                <c:pt idx="0">
                  <c:v>&lt;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40-44 ans</c:v>
                </c:pt>
                <c:pt idx="6">
                  <c:v>45-49 ans</c:v>
                </c:pt>
                <c:pt idx="7">
                  <c:v>50-54 ans</c:v>
                </c:pt>
                <c:pt idx="8">
                  <c:v>55-59 ans</c:v>
                </c:pt>
                <c:pt idx="9">
                  <c:v>60-64 ans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âges'!$C$128:$C$138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F-4877-A8E1-A31491C713F2}"/>
            </c:ext>
          </c:extLst>
        </c:ser>
        <c:ser>
          <c:idx val="1"/>
          <c:order val="1"/>
          <c:tx>
            <c:strRef>
              <c:f>'I-3 Pyramides âges'!$D$127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'I-3 Pyramides âges'!$B$128:$B$138</c:f>
              <c:strCache>
                <c:ptCount val="11"/>
                <c:pt idx="0">
                  <c:v>&lt;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40-44 ans</c:v>
                </c:pt>
                <c:pt idx="6">
                  <c:v>45-49 ans</c:v>
                </c:pt>
                <c:pt idx="7">
                  <c:v>50-54 ans</c:v>
                </c:pt>
                <c:pt idx="8">
                  <c:v>55-59 ans</c:v>
                </c:pt>
                <c:pt idx="9">
                  <c:v>60-64 ans</c:v>
                </c:pt>
                <c:pt idx="10">
                  <c:v>&gt; 65 ans</c:v>
                </c:pt>
              </c:strCache>
            </c:strRef>
          </c:cat>
          <c:val>
            <c:numRef>
              <c:f>'I-3 Pyramides âges'!$D$128:$D$138</c:f>
              <c:numCache>
                <c:formatCode>General</c:formatCode>
                <c:ptCount val="11"/>
                <c:pt idx="0">
                  <c:v>-1</c:v>
                </c:pt>
                <c:pt idx="1">
                  <c:v>-8</c:v>
                </c:pt>
                <c:pt idx="2">
                  <c:v>-22</c:v>
                </c:pt>
                <c:pt idx="3">
                  <c:v>-20</c:v>
                </c:pt>
                <c:pt idx="4">
                  <c:v>-23</c:v>
                </c:pt>
                <c:pt idx="5">
                  <c:v>-18</c:v>
                </c:pt>
                <c:pt idx="6">
                  <c:v>-27</c:v>
                </c:pt>
                <c:pt idx="7">
                  <c:v>-29</c:v>
                </c:pt>
                <c:pt idx="8">
                  <c:v>-23</c:v>
                </c:pt>
                <c:pt idx="9">
                  <c:v>-18</c:v>
                </c:pt>
                <c:pt idx="1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F-4877-A8E1-A31491C713F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41770464"/>
        <c:axId val="341772104"/>
      </c:barChart>
      <c:catAx>
        <c:axId val="34177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2104"/>
        <c:crosses val="autoZero"/>
        <c:auto val="1"/>
        <c:lblAlgn val="ctr"/>
        <c:lblOffset val="100"/>
        <c:noMultiLvlLbl val="0"/>
      </c:catAx>
      <c:valAx>
        <c:axId val="3417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D92D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9751C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âges'!$I$79:$I$81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âges'!$J$79:$J$81</c:f>
              <c:numCache>
                <c:formatCode>General</c:formatCode>
                <c:ptCount val="3"/>
                <c:pt idx="0">
                  <c:v>21</c:v>
                </c:pt>
                <c:pt idx="1">
                  <c:v>126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9786076245419825"/>
          <c:h val="7.575810599432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Header>&amp;C&amp;"Comic Sans MS,Gras"&amp;10Chapitre I - Emploi - Effectif - Démographie - Parité hommes/femmes
2. Effectifs
3 Pyramide des âges</c:oddHeader>
    </c:headerFooter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D92D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9751C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âges'!$H$103:$H$105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âges'!$I$103:$I$105</c:f>
              <c:numCache>
                <c:formatCode>General</c:formatCode>
                <c:ptCount val="3"/>
                <c:pt idx="0">
                  <c:v>25</c:v>
                </c:pt>
                <c:pt idx="1">
                  <c:v>59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9786076245419825"/>
          <c:h val="7.575810599432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Header>&amp;C&amp;"Comic Sans MS,Gras"&amp;10Chapitre I - Emploi - Effectif - Démographie - Parité hommes/femmes
2. Effectifs
3 Pyramide des âges</c:oddHeader>
    </c:headerFooter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Effectif BIATSS réparti</a:t>
            </a:r>
            <a:r>
              <a:rPr lang="fr-FR" sz="1100" baseline="0"/>
              <a:t> par filière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A93-4754-8775-01CFF2A7B6BB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93-4754-8775-01CFF2A7B6BB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93-4754-8775-01CFF2A7B6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73-4D36-8DFA-C50E4E74ED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'I-2.1 Effectif Global'!$AB$11:$AB$14</c:f>
              <c:strCache>
                <c:ptCount val="4"/>
                <c:pt idx="0">
                  <c:v>AENES</c:v>
                </c:pt>
                <c:pt idx="1">
                  <c:v>ITRF</c:v>
                </c:pt>
                <c:pt idx="2">
                  <c:v>BU</c:v>
                </c:pt>
                <c:pt idx="3">
                  <c:v>Médicaux sociaux</c:v>
                </c:pt>
              </c:strCache>
            </c:strRef>
          </c:cat>
          <c:val>
            <c:numRef>
              <c:f>'I-2.1 Effectif Global'!$AG$11:$AG$14</c:f>
              <c:numCache>
                <c:formatCode>General</c:formatCode>
                <c:ptCount val="4"/>
                <c:pt idx="0">
                  <c:v>70</c:v>
                </c:pt>
                <c:pt idx="1">
                  <c:v>597</c:v>
                </c:pt>
                <c:pt idx="2">
                  <c:v>44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3-4754-8775-01CFF2A7B6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D92D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A-4270-9914-B98FB3F3BEDD}"/>
              </c:ext>
            </c:extLst>
          </c:dPt>
          <c:dPt>
            <c:idx val="1"/>
            <c:bubble3D val="0"/>
            <c:spPr>
              <a:solidFill>
                <a:srgbClr val="9751C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8A-4270-9914-B98FB3F3BED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A-4270-9914-B98FB3F3B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'I-3 Pyramides âges'!$I$126:$I$128</c:f>
              <c:strCache>
                <c:ptCount val="3"/>
                <c:pt idx="0">
                  <c:v>&lt; 30 ans</c:v>
                </c:pt>
                <c:pt idx="1">
                  <c:v>30-49 ans</c:v>
                </c:pt>
                <c:pt idx="2">
                  <c:v>&gt; 50 ans</c:v>
                </c:pt>
              </c:strCache>
            </c:strRef>
          </c:cat>
          <c:val>
            <c:numRef>
              <c:f>'I-3 Pyramides âges'!$J$126:$J$128</c:f>
              <c:numCache>
                <c:formatCode>General</c:formatCode>
                <c:ptCount val="3"/>
                <c:pt idx="0">
                  <c:v>39</c:v>
                </c:pt>
                <c:pt idx="1">
                  <c:v>113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270-9914-B98FB3F3B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14183007882751"/>
          <c:y val="0.89554740588933235"/>
          <c:w val="0.48583514017269586"/>
          <c:h val="7.8671879301800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Header>&amp;C&amp;"Comic Sans MS,Gras"&amp;10Chapitre I - Emploi - Effectif - Démographie - Parité hommes/femmes
2. Effectifs
3 Pyramide des âges</c:oddHeader>
    </c:headerFooter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2E-47B1-B0F1-AC129293BD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2E-47B1-B0F1-AC129293BD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2E-47B1-B0F1-AC129293BD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E2E-47B1-B0F1-AC129293BD05}"/>
              </c:ext>
            </c:extLst>
          </c:dPt>
          <c:dLbls>
            <c:dLbl>
              <c:idx val="0"/>
              <c:spPr>
                <a:solidFill>
                  <a:schemeClr val="accent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2E-47B1-B0F1-AC129293BD05}"/>
                </c:ext>
              </c:extLst>
            </c:dLbl>
            <c:dLbl>
              <c:idx val="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E2E-47B1-B0F1-AC129293BD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2E-47B1-B0F1-AC129293BD05}"/>
                </c:ext>
              </c:extLst>
            </c:dLbl>
            <c:dLbl>
              <c:idx val="3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E2E-47B1-B0F1-AC129293BD0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'I-4 Entrées'!$E$4:$H$4</c:f>
              <c:strCache>
                <c:ptCount val="4"/>
                <c:pt idx="0">
                  <c:v>Concours</c:v>
                </c:pt>
                <c:pt idx="1">
                  <c:v>Détachement</c:v>
                </c:pt>
                <c:pt idx="2">
                  <c:v>Mise à disposition</c:v>
                </c:pt>
                <c:pt idx="3">
                  <c:v>Mutation</c:v>
                </c:pt>
              </c:strCache>
            </c:strRef>
          </c:cat>
          <c:val>
            <c:numRef>
              <c:f>'I-4 Entrées'!$E$13:$H$13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C-41CB-9575-8C58FD560C4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A7-4CB0-8A50-DFF7BF0693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D0-4972-829A-5B8248D1C3A2}"/>
              </c:ext>
            </c:extLst>
          </c:dPt>
          <c:dLbls>
            <c:dLbl>
              <c:idx val="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D0-4972-829A-5B8248D1C3A2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'I-4 Entrées'!$D$8:$D$12</c15:sqref>
                  </c15:fullRef>
                </c:ext>
              </c:extLst>
              <c:f>('I-4 Entrées'!$D$8,'I-4 Entrées'!$D$12)</c:f>
              <c:strCache>
                <c:ptCount val="2"/>
                <c:pt idx="0">
                  <c:v>BIATSS</c:v>
                </c:pt>
                <c:pt idx="1">
                  <c:v>Enseignants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'I-4 Entrées'!$I$8:$I$12</c15:sqref>
                  </c15:fullRef>
                </c:ext>
              </c:extLst>
              <c:f>('I-4 Entrées'!$I$8,'I-4 Entrées'!$I$12)</c:f>
              <c:numCache>
                <c:formatCode>General</c:formatCode>
                <c:ptCount val="2"/>
                <c:pt idx="0">
                  <c:v>11</c:v>
                </c:pt>
                <c:pt idx="1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C12-4E83-B66B-4203A220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'I-4 Entrées'!$H$48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'I-4 Entrées'!$G$49:$G$53</c:f>
              <c:strCache>
                <c:ptCount val="5"/>
                <c:pt idx="0">
                  <c:v>BIATSS A</c:v>
                </c:pt>
                <c:pt idx="1">
                  <c:v>BIATSS B</c:v>
                </c:pt>
                <c:pt idx="2">
                  <c:v>BIATSS C</c:v>
                </c:pt>
                <c:pt idx="3">
                  <c:v>Doctorants et chercheurs</c:v>
                </c:pt>
                <c:pt idx="4">
                  <c:v>Enseignants</c:v>
                </c:pt>
              </c:strCache>
            </c:strRef>
          </c:cat>
          <c:val>
            <c:numRef>
              <c:f>'I-4 Entrées'!$H$49:$H$53</c:f>
              <c:numCache>
                <c:formatCode>0%</c:formatCode>
                <c:ptCount val="5"/>
                <c:pt idx="0">
                  <c:v>0.7407407407407407</c:v>
                </c:pt>
                <c:pt idx="1">
                  <c:v>0.64</c:v>
                </c:pt>
                <c:pt idx="2">
                  <c:v>0.7857142857142857</c:v>
                </c:pt>
                <c:pt idx="3">
                  <c:v>0.50793650793650791</c:v>
                </c:pt>
                <c:pt idx="4">
                  <c:v>0.42372881355932202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6-41E2-82EF-20FF56591003}"/>
            </c:ext>
          </c:extLst>
        </c:ser>
        <c:ser>
          <c:idx val="1"/>
          <c:order val="1"/>
          <c:tx>
            <c:strRef>
              <c:f>'I-4 Entrées'!$I$48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'I-4 Entrées'!$G$49:$G$53</c:f>
              <c:strCache>
                <c:ptCount val="5"/>
                <c:pt idx="0">
                  <c:v>BIATSS A</c:v>
                </c:pt>
                <c:pt idx="1">
                  <c:v>BIATSS B</c:v>
                </c:pt>
                <c:pt idx="2">
                  <c:v>BIATSS C</c:v>
                </c:pt>
                <c:pt idx="3">
                  <c:v>Doctorants et chercheurs</c:v>
                </c:pt>
                <c:pt idx="4">
                  <c:v>Enseignants</c:v>
                </c:pt>
              </c:strCache>
            </c:strRef>
          </c:cat>
          <c:val>
            <c:numRef>
              <c:f>'I-4 Entrées'!$I$49:$I$53</c:f>
              <c:numCache>
                <c:formatCode>0%</c:formatCode>
                <c:ptCount val="5"/>
                <c:pt idx="0">
                  <c:v>0.25925925925925924</c:v>
                </c:pt>
                <c:pt idx="1">
                  <c:v>0.36</c:v>
                </c:pt>
                <c:pt idx="2">
                  <c:v>0.21428571428571427</c:v>
                </c:pt>
                <c:pt idx="3">
                  <c:v>0.49206349206349204</c:v>
                </c:pt>
                <c:pt idx="4">
                  <c:v>0.57627118644067798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6-41E2-82EF-20FF565910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626546448"/>
        <c:axId val="626547760"/>
      </c:barChart>
      <c:catAx>
        <c:axId val="62654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547760"/>
        <c:crosses val="autoZero"/>
        <c:auto val="1"/>
        <c:lblAlgn val="ctr"/>
        <c:lblOffset val="100"/>
        <c:noMultiLvlLbl val="0"/>
      </c:catAx>
      <c:valAx>
        <c:axId val="62654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5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FD-44C5-A8ED-C646757FE6C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FD-44C5-A8ED-C646757FE6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FD-44C5-A8ED-C646757FE6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'I-4 Entrées'!$A$50:$A$52</c:f>
              <c:strCache>
                <c:ptCount val="3"/>
                <c:pt idx="0">
                  <c:v>Enseignants</c:v>
                </c:pt>
                <c:pt idx="1">
                  <c:v>BIATSS</c:v>
                </c:pt>
                <c:pt idx="2">
                  <c:v>Doctorants et chercheurs</c:v>
                </c:pt>
              </c:strCache>
            </c:strRef>
          </c:cat>
          <c:val>
            <c:numRef>
              <c:f>'I-4 Entrées'!$B$50:$B$52</c:f>
              <c:numCache>
                <c:formatCode>General</c:formatCode>
                <c:ptCount val="3"/>
                <c:pt idx="0">
                  <c:v>59</c:v>
                </c:pt>
                <c:pt idx="1">
                  <c:v>80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7-452D-A7D9-765693BAB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C20-4BBF-940F-ED4545FE68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20-4BBF-940F-ED4545FE68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'I-4 Entrées'!$C$37:$D$37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'I-4 Entrées'!$C$46:$D$46</c:f>
              <c:numCache>
                <c:formatCode>General</c:formatCode>
                <c:ptCount val="2"/>
                <c:pt idx="0">
                  <c:v>115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3-4B34-B488-93350574F2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7-4455-ADFA-5BE7BADAC7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447-4455-ADFA-5BE7BADAC7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7-4455-ADFA-5BE7BADAC7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47-4455-ADFA-5BE7BADAC7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7-4455-ADFA-5BE7BADAC7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47-4455-ADFA-5BE7BADAC7C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7-4455-ADFA-5BE7BADAC7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47-4455-ADFA-5BE7BADAC7C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F1-470C-81F1-C17560977A4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F1-470C-81F1-C17560977A4C}"/>
              </c:ext>
            </c:extLst>
          </c:dPt>
          <c:dLbls>
            <c:dLbl>
              <c:idx val="0"/>
              <c:layout>
                <c:manualLayout>
                  <c:x val="7.0857073767890341E-3"/>
                  <c:y val="-0.10849442732701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47-4455-ADFA-5BE7BADAC7C7}"/>
                </c:ext>
              </c:extLst>
            </c:dLbl>
            <c:dLbl>
              <c:idx val="1"/>
              <c:layout>
                <c:manualLayout>
                  <c:x val="3.3333333333333333E-2"/>
                  <c:y val="-5.092592592592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47-4455-ADFA-5BE7BADAC7C7}"/>
                </c:ext>
              </c:extLst>
            </c:dLbl>
            <c:dLbl>
              <c:idx val="2"/>
              <c:layout>
                <c:manualLayout>
                  <c:x val="4.6065259117082535E-2"/>
                  <c:y val="-4.830917874396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47-4455-ADFA-5BE7BADAC7C7}"/>
                </c:ext>
              </c:extLst>
            </c:dLbl>
            <c:dLbl>
              <c:idx val="3"/>
              <c:layout>
                <c:manualLayout>
                  <c:x val="2.3032629558541174E-2"/>
                  <c:y val="1.44927536231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47-4455-ADFA-5BE7BADAC7C7}"/>
                </c:ext>
              </c:extLst>
            </c:dLbl>
            <c:dLbl>
              <c:idx val="4"/>
              <c:layout>
                <c:manualLayout>
                  <c:x val="4.122941446138801E-2"/>
                  <c:y val="5.0120963140477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47-4455-ADFA-5BE7BADAC7C7}"/>
                </c:ext>
              </c:extLst>
            </c:dLbl>
            <c:dLbl>
              <c:idx val="5"/>
              <c:layout>
                <c:manualLayout>
                  <c:x val="1.8634062296915381E-2"/>
                  <c:y val="5.314009661835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47-4455-ADFA-5BE7BADAC7C7}"/>
                </c:ext>
              </c:extLst>
            </c:dLbl>
            <c:dLbl>
              <c:idx val="6"/>
              <c:layout>
                <c:manualLayout>
                  <c:x val="-2.3032629558541268E-2"/>
                  <c:y val="4.3478260869565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47-4455-ADFA-5BE7BADAC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47-4455-ADFA-5BE7BADAC7C7}"/>
                </c:ext>
              </c:extLst>
            </c:dLbl>
            <c:dLbl>
              <c:idx val="8"/>
              <c:layout>
                <c:manualLayout>
                  <c:x val="-4.1666666666666664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F1-470C-81F1-C17560977A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F1-470C-81F1-C17560977A4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'I-5 Sorties'!$A$5:$A$14</c:f>
              <c:strCache>
                <c:ptCount val="10"/>
                <c:pt idx="0">
                  <c:v>Décès</c:v>
                </c:pt>
                <c:pt idx="1">
                  <c:v>Démission</c:v>
                </c:pt>
                <c:pt idx="2">
                  <c:v>Détachement</c:v>
                </c:pt>
                <c:pt idx="3">
                  <c:v>Disponibilité</c:v>
                </c:pt>
                <c:pt idx="4">
                  <c:v>Fin de détachement</c:v>
                </c:pt>
                <c:pt idx="5">
                  <c:v>Mutation</c:v>
                </c:pt>
                <c:pt idx="6">
                  <c:v>Non réintégration</c:v>
                </c:pt>
                <c:pt idx="7">
                  <c:v>Radiation</c:v>
                </c:pt>
                <c:pt idx="8">
                  <c:v>Retraite</c:v>
                </c:pt>
                <c:pt idx="9">
                  <c:v>Rupture conventionnelle</c:v>
                </c:pt>
              </c:strCache>
            </c:strRef>
          </c:cat>
          <c:val>
            <c:numRef>
              <c:f>'I-5 Sorties'!$J$5:$J$14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12</c:v>
                </c:pt>
                <c:pt idx="3">
                  <c:v>5</c:v>
                </c:pt>
                <c:pt idx="4">
                  <c:v>1</c:v>
                </c:pt>
                <c:pt idx="5">
                  <c:v>15</c:v>
                </c:pt>
                <c:pt idx="6">
                  <c:v>2</c:v>
                </c:pt>
                <c:pt idx="7">
                  <c:v>0</c:v>
                </c:pt>
                <c:pt idx="8">
                  <c:v>26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7-4455-ADFA-5BE7BADA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5-45B0-AE7C-16FAD7FB0E4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5-45B0-AE7C-16FAD7FB0E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('I-5 Sorties'!$C$66,'I-5 Sorties'!$G$66)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('I-5 Sorties'!$F$76,'I-5 Sorties'!$J$76)</c:f>
              <c:numCache>
                <c:formatCode>General</c:formatCode>
                <c:ptCount val="2"/>
                <c:pt idx="0">
                  <c:v>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058-B410-94846BB7C7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8D4-4629-876E-EF4C9E925B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8D4-4629-876E-EF4C9E925B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('I-5 Sorties'!$A$69,'I-5 Sorties'!$A$73)</c:f>
              <c:strCache>
                <c:ptCount val="2"/>
                <c:pt idx="0">
                  <c:v>Enseignants</c:v>
                </c:pt>
                <c:pt idx="1">
                  <c:v>BIATSS</c:v>
                </c:pt>
              </c:strCache>
            </c:strRef>
          </c:cat>
          <c:val>
            <c:numRef>
              <c:f>('I-5 Sorties'!$K$71,'I-5 Sorties'!$K$75)</c:f>
              <c:numCache>
                <c:formatCode>General</c:formatCode>
                <c:ptCount val="2"/>
                <c:pt idx="0">
                  <c:v>17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4079-AED6-97B7EE8FBD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'I-5 Sorties'!$B$92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'I-5 Sorties'!$A$93:$A$96</c:f>
              <c:strCache>
                <c:ptCount val="4"/>
                <c:pt idx="0">
                  <c:v>BIATSS - A</c:v>
                </c:pt>
                <c:pt idx="1">
                  <c:v>BIATSS - B</c:v>
                </c:pt>
                <c:pt idx="2">
                  <c:v>BIATSS - C</c:v>
                </c:pt>
                <c:pt idx="3">
                  <c:v>Enseignants</c:v>
                </c:pt>
              </c:strCache>
            </c:strRef>
          </c:cat>
          <c:val>
            <c:numRef>
              <c:f>'I-5 Sorties'!$B$93:$B$96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5-476F-BEC0-7126DB6DB176}"/>
            </c:ext>
          </c:extLst>
        </c:ser>
        <c:ser>
          <c:idx val="1"/>
          <c:order val="1"/>
          <c:tx>
            <c:strRef>
              <c:f>'I-5 Sorties'!$C$92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'I-5 Sorties'!$A$93:$A$96</c:f>
              <c:strCache>
                <c:ptCount val="4"/>
                <c:pt idx="0">
                  <c:v>BIATSS - A</c:v>
                </c:pt>
                <c:pt idx="1">
                  <c:v>BIATSS - B</c:v>
                </c:pt>
                <c:pt idx="2">
                  <c:v>BIATSS - C</c:v>
                </c:pt>
                <c:pt idx="3">
                  <c:v>Enseignants</c:v>
                </c:pt>
              </c:strCache>
            </c:strRef>
          </c:cat>
          <c:val>
            <c:numRef>
              <c:f>'I-5 Sorties'!$C$93:$C$96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5-476F-BEC0-7126DB6DB1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0533872"/>
        <c:axId val="630534856"/>
      </c:barChart>
      <c:catAx>
        <c:axId val="6305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0534856"/>
        <c:crosses val="autoZero"/>
        <c:auto val="1"/>
        <c:lblAlgn val="ctr"/>
        <c:lblOffset val="100"/>
        <c:noMultiLvlLbl val="0"/>
      </c:catAx>
      <c:valAx>
        <c:axId val="63053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05338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Effectif Enseignant réparti par filière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ABE-46AF-A56A-DA231140856B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ABE-46AF-A56A-DA231140856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ABE-46AF-A56A-DA23114085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80A-4959-8353-E5C8AB20C56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ABE-46AF-A56A-DA23114085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'I-2.1 Effectif Global'!$AB$5:$AB$9</c:f>
              <c:strCache>
                <c:ptCount val="5"/>
                <c:pt idx="0">
                  <c:v>Enseignants Chercheurs</c:v>
                </c:pt>
                <c:pt idx="1">
                  <c:v>Enseignants HU</c:v>
                </c:pt>
                <c:pt idx="2">
                  <c:v>Enseignants 2nd degré</c:v>
                </c:pt>
                <c:pt idx="3">
                  <c:v>ATER</c:v>
                </c:pt>
                <c:pt idx="4">
                  <c:v>Lecteurs</c:v>
                </c:pt>
              </c:strCache>
            </c:strRef>
          </c:cat>
          <c:val>
            <c:numRef>
              <c:f>'I-2.1 Effectif Global'!$AG$5:$AG$9</c:f>
              <c:numCache>
                <c:formatCode>General</c:formatCode>
                <c:ptCount val="5"/>
                <c:pt idx="0">
                  <c:v>414</c:v>
                </c:pt>
                <c:pt idx="1">
                  <c:v>145</c:v>
                </c:pt>
                <c:pt idx="2">
                  <c:v>205</c:v>
                </c:pt>
                <c:pt idx="3">
                  <c:v>34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E-46AF-A56A-DA23114085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EB-42A6-96D9-4095EE7734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EB-42A6-96D9-4095EE7734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EEB-42A6-96D9-4095EE7734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'I-5 Sorties'!$A$93:$A$95</c15:sqref>
                  </c15:fullRef>
                </c:ext>
              </c:extLst>
              <c:f>'I-5 Sorties'!$A$93:$A$95</c:f>
              <c:strCache>
                <c:ptCount val="3"/>
                <c:pt idx="0">
                  <c:v>BIATSS - A</c:v>
                </c:pt>
                <c:pt idx="1">
                  <c:v>BIATSS - B</c:v>
                </c:pt>
                <c:pt idx="2">
                  <c:v>BIATSS - 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'I-5 Sorties'!$D$93:$D$96</c15:sqref>
                  </c15:fullRef>
                </c:ext>
              </c:extLst>
              <c:f>'I-5 Sorties'!$D$93:$D$95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593-42D0-B8F9-31E94D16EC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'I-5 Sorties'!$C$49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'I-5 Sorties'!$B$50:$B$51</c:f>
              <c:strCache>
                <c:ptCount val="2"/>
                <c:pt idx="0">
                  <c:v>ENS</c:v>
                </c:pt>
                <c:pt idx="1">
                  <c:v>BIATSS</c:v>
                </c:pt>
              </c:strCache>
            </c:strRef>
          </c:cat>
          <c:val>
            <c:numRef>
              <c:f>'I-5 Sorties'!$C$50:$C$51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A-442F-A253-FA538FA84DEA}"/>
            </c:ext>
          </c:extLst>
        </c:ser>
        <c:ser>
          <c:idx val="1"/>
          <c:order val="1"/>
          <c:tx>
            <c:strRef>
              <c:f>'I-5 Sorties'!$D$49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'I-5 Sorties'!$B$50:$B$51</c:f>
              <c:strCache>
                <c:ptCount val="2"/>
                <c:pt idx="0">
                  <c:v>ENS</c:v>
                </c:pt>
                <c:pt idx="1">
                  <c:v>BIATSS</c:v>
                </c:pt>
              </c:strCache>
            </c:strRef>
          </c:cat>
          <c:val>
            <c:numRef>
              <c:f>'I-5 Sorties'!$D$50:$D$51</c:f>
              <c:numCache>
                <c:formatCode>General</c:formatCode>
                <c:ptCount val="2"/>
                <c:pt idx="0">
                  <c:v>24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A-442F-A253-FA538FA84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752296"/>
        <c:axId val="938754592"/>
      </c:barChart>
      <c:catAx>
        <c:axId val="93875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8754592"/>
        <c:crosses val="autoZero"/>
        <c:auto val="1"/>
        <c:lblAlgn val="ctr"/>
        <c:lblOffset val="100"/>
        <c:noMultiLvlLbl val="0"/>
      </c:catAx>
      <c:valAx>
        <c:axId val="9387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875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'I-6 Parité'!$C$23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'I-6 Parité'!$A$24:$A$28</c:f>
              <c:strCache>
                <c:ptCount val="5"/>
                <c:pt idx="0">
                  <c:v>Lettres et Sciences Humaines</c:v>
                </c:pt>
                <c:pt idx="1">
                  <c:v>Droit, Economie, Gestion</c:v>
                </c:pt>
                <c:pt idx="2">
                  <c:v>Sciences</c:v>
                </c:pt>
                <c:pt idx="3">
                  <c:v>Médecince</c:v>
                </c:pt>
                <c:pt idx="4">
                  <c:v>Pluridisciplinaire</c:v>
                </c:pt>
              </c:strCache>
            </c:strRef>
          </c:cat>
          <c:val>
            <c:numRef>
              <c:f>'I-6 Parité'!$F$24:$F$28</c:f>
              <c:numCache>
                <c:formatCode>0.0%</c:formatCode>
                <c:ptCount val="5"/>
                <c:pt idx="0">
                  <c:v>0.54205607476635509</c:v>
                </c:pt>
                <c:pt idx="1">
                  <c:v>0.52542372881355937</c:v>
                </c:pt>
                <c:pt idx="2">
                  <c:v>0.26530612244897961</c:v>
                </c:pt>
                <c:pt idx="3">
                  <c:v>0.30555555555555558</c:v>
                </c:pt>
                <c:pt idx="4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1-4258-84BC-A23540CF98BF}"/>
            </c:ext>
          </c:extLst>
        </c:ser>
        <c:ser>
          <c:idx val="1"/>
          <c:order val="1"/>
          <c:tx>
            <c:strRef>
              <c:f>'I-6 Parité'!$D$23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'I-6 Parité'!$A$24:$A$28</c:f>
              <c:strCache>
                <c:ptCount val="5"/>
                <c:pt idx="0">
                  <c:v>Lettres et Sciences Humaines</c:v>
                </c:pt>
                <c:pt idx="1">
                  <c:v>Droit, Economie, Gestion</c:v>
                </c:pt>
                <c:pt idx="2">
                  <c:v>Sciences</c:v>
                </c:pt>
                <c:pt idx="3">
                  <c:v>Médecince</c:v>
                </c:pt>
                <c:pt idx="4">
                  <c:v>Pluridisciplinaire</c:v>
                </c:pt>
              </c:strCache>
            </c:strRef>
          </c:cat>
          <c:val>
            <c:numRef>
              <c:f>'I-6 Parité'!$G$24:$G$28</c:f>
              <c:numCache>
                <c:formatCode>0.0%</c:formatCode>
                <c:ptCount val="5"/>
                <c:pt idx="0">
                  <c:v>0.45794392523364486</c:v>
                </c:pt>
                <c:pt idx="1">
                  <c:v>0.47457627118644069</c:v>
                </c:pt>
                <c:pt idx="2">
                  <c:v>0.73469387755102045</c:v>
                </c:pt>
                <c:pt idx="3">
                  <c:v>0.69444444444444442</c:v>
                </c:pt>
                <c:pt idx="4">
                  <c:v>0.61290322580645162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1-4258-84BC-A23540CF9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294872"/>
        <c:axId val="1237298808"/>
        <c:axId val="0"/>
      </c:bar3DChart>
      <c:catAx>
        <c:axId val="1237294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98808"/>
        <c:crosses val="autoZero"/>
        <c:auto val="1"/>
        <c:lblAlgn val="ctr"/>
        <c:lblOffset val="100"/>
        <c:noMultiLvlLbl val="0"/>
      </c:catAx>
      <c:valAx>
        <c:axId val="1237298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9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'I-6 Parité'!$C$35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'I-6 Parité'!$B$36:$B$38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'I-6 Parité'!$F$36:$F$38</c:f>
              <c:numCache>
                <c:formatCode>0.0%</c:formatCode>
                <c:ptCount val="3"/>
                <c:pt idx="0">
                  <c:v>0.59148936170212763</c:v>
                </c:pt>
                <c:pt idx="1">
                  <c:v>0.75330396475770922</c:v>
                </c:pt>
                <c:pt idx="2">
                  <c:v>0.75196850393700787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5-439B-8232-8ECF29AD93E8}"/>
            </c:ext>
          </c:extLst>
        </c:ser>
        <c:ser>
          <c:idx val="1"/>
          <c:order val="1"/>
          <c:tx>
            <c:strRef>
              <c:f>'I-6 Parité'!$D$35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'I-6 Parité'!$B$36:$B$38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'I-6 Parité'!$G$36:$G$38</c:f>
              <c:numCache>
                <c:formatCode>0.0%</c:formatCode>
                <c:ptCount val="3"/>
                <c:pt idx="0">
                  <c:v>0.40851063829787232</c:v>
                </c:pt>
                <c:pt idx="1">
                  <c:v>0.24669603524229075</c:v>
                </c:pt>
                <c:pt idx="2">
                  <c:v>0.24803149606299213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5-439B-8232-8ECF29AD93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638847024"/>
        <c:axId val="638845712"/>
      </c:barChart>
      <c:catAx>
        <c:axId val="63884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845712"/>
        <c:crosses val="autoZero"/>
        <c:auto val="1"/>
        <c:lblAlgn val="ctr"/>
        <c:lblOffset val="100"/>
        <c:noMultiLvlLbl val="0"/>
      </c:catAx>
      <c:valAx>
        <c:axId val="6388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8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'II-1 Formations'!$B$4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'II-1 Formations'!$A$5:$A$6</c:f>
              <c:strCache>
                <c:ptCount val="2"/>
                <c:pt idx="0">
                  <c:v>Enseignants</c:v>
                </c:pt>
                <c:pt idx="1">
                  <c:v>BIATSS</c:v>
                </c:pt>
              </c:strCache>
            </c:strRef>
          </c:cat>
          <c:val>
            <c:numRef>
              <c:f>'II-1 Formations'!$B$5:$B$6</c:f>
              <c:numCache>
                <c:formatCode>General</c:formatCode>
                <c:ptCount val="2"/>
                <c:pt idx="0">
                  <c:v>172</c:v>
                </c:pt>
                <c:pt idx="1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C-492E-927F-34E2C61ED376}"/>
            </c:ext>
          </c:extLst>
        </c:ser>
        <c:ser>
          <c:idx val="1"/>
          <c:order val="1"/>
          <c:tx>
            <c:strRef>
              <c:f>'II-1 Formations'!$C$4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'II-1 Formations'!$A$5:$A$6</c:f>
              <c:strCache>
                <c:ptCount val="2"/>
                <c:pt idx="0">
                  <c:v>Enseignants</c:v>
                </c:pt>
                <c:pt idx="1">
                  <c:v>BIATSS</c:v>
                </c:pt>
              </c:strCache>
            </c:strRef>
          </c:cat>
          <c:val>
            <c:numRef>
              <c:f>'II-1 Formations'!$C$5:$C$6</c:f>
              <c:numCache>
                <c:formatCode>General</c:formatCode>
                <c:ptCount val="2"/>
                <c:pt idx="0">
                  <c:v>115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C-492E-927F-34E2C61E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675792"/>
        <c:axId val="634678088"/>
      </c:barChart>
      <c:catAx>
        <c:axId val="63467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678088"/>
        <c:crosses val="autoZero"/>
        <c:auto val="1"/>
        <c:lblAlgn val="ctr"/>
        <c:lblOffset val="100"/>
        <c:noMultiLvlLbl val="0"/>
      </c:catAx>
      <c:valAx>
        <c:axId val="63467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6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A85C8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01-4AB6-ADB0-B0EDF12429C4}"/>
              </c:ext>
            </c:extLst>
          </c:dPt>
          <c:dPt>
            <c:idx val="1"/>
            <c:bubble3D val="0"/>
            <c:spPr>
              <a:solidFill>
                <a:srgbClr val="6B395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B01-4AB6-ADB0-B0EDF12429C4}"/>
              </c:ext>
            </c:extLst>
          </c:dPt>
          <c:dPt>
            <c:idx val="2"/>
            <c:bubble3D val="0"/>
            <c:spPr>
              <a:solidFill>
                <a:srgbClr val="C08AA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B01-4AB6-ADB0-B0EDF12429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'IV-1 Risques professionnels'!$B$23:$B$25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'IV-1 Risques professionnels'!$E$23:$E$25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1-4AB6-ADB0-B0EDF1242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'IV-1 Risques professionnels'!$C$31:$C$33</c:f>
              <c:strCache>
                <c:ptCount val="3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'IV-1 Risques professionnels'!$B$34:$B$40</c:f>
              <c:strCache>
                <c:ptCount val="7"/>
                <c:pt idx="0">
                  <c:v>30-34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</c:strCache>
            </c:strRef>
          </c:cat>
          <c:val>
            <c:numRef>
              <c:f>'IV-1 Risques professionnels'!$C$34:$C$40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3-428C-8B46-04673FA36094}"/>
            </c:ext>
          </c:extLst>
        </c:ser>
        <c:ser>
          <c:idx val="1"/>
          <c:order val="1"/>
          <c:tx>
            <c:strRef>
              <c:f>'IV-1 Risques professionnels'!$D$31:$D$33</c:f>
              <c:strCache>
                <c:ptCount val="3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'IV-1 Risques professionnels'!$B$34:$B$40</c:f>
              <c:strCache>
                <c:ptCount val="7"/>
                <c:pt idx="0">
                  <c:v>30-34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</c:strCache>
            </c:strRef>
          </c:cat>
          <c:val>
            <c:numRef>
              <c:f>'IV-1 Risques professionnels'!$D$34:$D$40</c:f>
              <c:numCache>
                <c:formatCode>General</c:formatCode>
                <c:ptCount val="7"/>
                <c:pt idx="0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3-428C-8B46-04673FA3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273456"/>
        <c:axId val="849270504"/>
      </c:barChart>
      <c:catAx>
        <c:axId val="8492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270504"/>
        <c:crosses val="autoZero"/>
        <c:auto val="1"/>
        <c:lblAlgn val="ctr"/>
        <c:lblOffset val="100"/>
        <c:noMultiLvlLbl val="0"/>
      </c:catAx>
      <c:valAx>
        <c:axId val="84927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27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'IV-1 Risques professionnels'!$C$10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'IV-1 Risques professionnels'!$B$11:$B$14</c:f>
              <c:strCache>
                <c:ptCount val="4"/>
                <c:pt idx="0">
                  <c:v>Accident de service</c:v>
                </c:pt>
                <c:pt idx="1">
                  <c:v>Accident de trajet</c:v>
                </c:pt>
                <c:pt idx="2">
                  <c:v>Accident de mission</c:v>
                </c:pt>
                <c:pt idx="3">
                  <c:v>maladie pro</c:v>
                </c:pt>
              </c:strCache>
            </c:strRef>
          </c:cat>
          <c:val>
            <c:numRef>
              <c:f>'IV-1 Risques professionnels'!$C$11:$C$14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F-4529-B23F-5D73DEA6EA7A}"/>
            </c:ext>
          </c:extLst>
        </c:ser>
        <c:ser>
          <c:idx val="1"/>
          <c:order val="1"/>
          <c:tx>
            <c:strRef>
              <c:f>'IV-1 Risques professionnels'!$D$10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'IV-1 Risques professionnels'!$B$11:$B$14</c:f>
              <c:strCache>
                <c:ptCount val="4"/>
                <c:pt idx="0">
                  <c:v>Accident de service</c:v>
                </c:pt>
                <c:pt idx="1">
                  <c:v>Accident de trajet</c:v>
                </c:pt>
                <c:pt idx="2">
                  <c:v>Accident de mission</c:v>
                </c:pt>
                <c:pt idx="3">
                  <c:v>maladie pro</c:v>
                </c:pt>
              </c:strCache>
            </c:strRef>
          </c:cat>
          <c:val>
            <c:numRef>
              <c:f>'IV-1 Risques professionnels'!$D$11:$D$14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F-4529-B23F-5D73DEA6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9158656"/>
        <c:axId val="849156360"/>
      </c:barChart>
      <c:catAx>
        <c:axId val="84915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156360"/>
        <c:crosses val="autoZero"/>
        <c:auto val="1"/>
        <c:lblAlgn val="ctr"/>
        <c:lblOffset val="100"/>
        <c:noMultiLvlLbl val="0"/>
      </c:catAx>
      <c:valAx>
        <c:axId val="849156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15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'IV-1 Risques professionnels'!$H$46</c:f>
              <c:strCache>
                <c:ptCount val="1"/>
                <c:pt idx="0">
                  <c:v>BIATSS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'IV-1 Risques professionnels'!$I$45:$J$45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'IV-1 Risques professionnels'!$I$46:$J$46</c:f>
              <c:numCache>
                <c:formatCode>General</c:formatCode>
                <c:ptCount val="2"/>
                <c:pt idx="0">
                  <c:v>17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3-4C3D-9445-D41D4FCA48FF}"/>
            </c:ext>
          </c:extLst>
        </c:ser>
        <c:ser>
          <c:idx val="1"/>
          <c:order val="1"/>
          <c:tx>
            <c:strRef>
              <c:f>'IV-1 Risques professionnels'!$H$47</c:f>
              <c:strCache>
                <c:ptCount val="1"/>
                <c:pt idx="0">
                  <c:v>Doctorants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'IV-1 Risques professionnels'!$I$45:$J$45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'IV-1 Risques professionnels'!$I$47:$J$47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FFD3-4C3D-9445-D41D4FCA48FF}"/>
            </c:ext>
          </c:extLst>
        </c:ser>
        <c:ser>
          <c:idx val="2"/>
          <c:order val="2"/>
          <c:tx>
            <c:strRef>
              <c:f>'IV-1 Risques professionnels'!$H$48</c:f>
              <c:strCache>
                <c:ptCount val="1"/>
                <c:pt idx="0">
                  <c:v>Enseignants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'IV-1 Risques professionnels'!$I$45:$J$45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'IV-1 Risques professionnels'!$I$48:$J$48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3-4C3D-9445-D41D4FCA4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260992"/>
        <c:axId val="849261320"/>
      </c:barChart>
      <c:catAx>
        <c:axId val="84926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261320"/>
        <c:crosses val="autoZero"/>
        <c:auto val="1"/>
        <c:lblAlgn val="ctr"/>
        <c:lblOffset val="100"/>
        <c:noMultiLvlLbl val="0"/>
      </c:catAx>
      <c:valAx>
        <c:axId val="84926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2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Identification</a:t>
            </a:r>
            <a:r>
              <a:rPr lang="fr-FR" sz="1200" baseline="0"/>
              <a:t> des risques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34-4FFB-B64E-943709E48831}"/>
              </c:ext>
            </c:extLst>
          </c:dPt>
          <c:dPt>
            <c:idx val="1"/>
            <c:bubble3D val="0"/>
            <c:spPr>
              <a:solidFill>
                <a:srgbClr val="E274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34-4FFB-B64E-943709E488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34-4FFB-B64E-943709E48831}"/>
              </c:ext>
            </c:extLst>
          </c:dPt>
          <c:dLbls>
            <c:dLbl>
              <c:idx val="0"/>
              <c:layout>
                <c:manualLayout>
                  <c:x val="6.5528759153975491E-2"/>
                  <c:y val="-8.4144299480813076E-2"/>
                </c:manualLayout>
              </c:layout>
              <c:spPr>
                <a:noFill/>
                <a:ln w="9525" cap="flat" cmpd="sng" algn="ctr">
                  <a:solidFill>
                    <a:sysClr val="window" lastClr="FFFFFF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486"/>
                        <a:gd name="adj2" fmla="val 212441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AD34-4FFB-B64E-943709E48831}"/>
                </c:ext>
              </c:extLst>
            </c:dLbl>
            <c:dLbl>
              <c:idx val="1"/>
              <c:layout>
                <c:manualLayout>
                  <c:x val="-5.5555555555555558E-3"/>
                  <c:y val="7.870370370370354E-2"/>
                </c:manualLayout>
              </c:layout>
              <c:spPr>
                <a:noFill/>
                <a:ln w="9525" cap="flat" cmpd="sng" algn="ctr">
                  <a:solidFill>
                    <a:schemeClr val="bg1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8780"/>
                        <a:gd name="adj2" fmla="val -5134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AD34-4FFB-B64E-943709E48831}"/>
                </c:ext>
              </c:extLst>
            </c:dLbl>
            <c:dLbl>
              <c:idx val="2"/>
              <c:layout>
                <c:manualLayout>
                  <c:x val="-8.2330048472788048E-2"/>
                  <c:y val="-1.9228308140314621E-2"/>
                </c:manualLayout>
              </c:layout>
              <c:spPr>
                <a:noFill/>
                <a:ln w="9525" cap="flat" cmpd="sng" algn="ctr">
                  <a:solidFill>
                    <a:schemeClr val="bg1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891"/>
                        <a:gd name="adj2" fmla="val 17172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D34-4FFB-B64E-943709E48831}"/>
                </c:ext>
              </c:extLst>
            </c:dLbl>
            <c:spPr>
              <a:noFill/>
              <a:ln>
                <a:solidFill>
                  <a:sysClr val="window" lastClr="FFFFFF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'IV-1 Risques professionnels'!$B$64:$B$66</c:f>
              <c:strCache>
                <c:ptCount val="3"/>
                <c:pt idx="0">
                  <c:v>Réalisé / Validé</c:v>
                </c:pt>
                <c:pt idx="1">
                  <c:v>A réactualiser</c:v>
                </c:pt>
                <c:pt idx="2">
                  <c:v>A réaliser</c:v>
                </c:pt>
              </c:strCache>
            </c:strRef>
          </c:cat>
          <c:val>
            <c:numRef>
              <c:f>'IV-1 Risques professionnels'!$C$64:$C$66</c:f>
              <c:numCache>
                <c:formatCode>0%</c:formatCode>
                <c:ptCount val="3"/>
                <c:pt idx="0">
                  <c:v>0.39</c:v>
                </c:pt>
                <c:pt idx="1">
                  <c:v>0.27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FFB-B64E-943709E4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6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Effectifs</a:t>
            </a:r>
            <a:r>
              <a:rPr lang="fr-FR" sz="1100" baseline="0"/>
              <a:t> UJM répartis par statut</a:t>
            </a:r>
            <a:endParaRPr lang="fr-FR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E2-4332-B181-B534AADC6AC3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FE2-4332-B181-B534AADC6A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('I-2.1 Effectif Global'!$AC$3,'I-2.1 Effectif Global'!$AE$3)</c:f>
              <c:strCache>
                <c:ptCount val="2"/>
                <c:pt idx="0">
                  <c:v>Titulaire</c:v>
                </c:pt>
                <c:pt idx="1">
                  <c:v>ANT</c:v>
                </c:pt>
              </c:strCache>
            </c:strRef>
          </c:cat>
          <c:val>
            <c:numRef>
              <c:f>('I-2.1 Effectif Global'!$AC$19,'I-2.1 Effectif Global'!$AE$19)</c:f>
              <c:numCache>
                <c:formatCode>General</c:formatCode>
                <c:ptCount val="2"/>
                <c:pt idx="0">
                  <c:v>1051</c:v>
                </c:pt>
                <c:pt idx="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2-4332-B181-B534AADC6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Plan d'action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F-4473-A17C-A2EDFFB67D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F-4473-A17C-A2EDFFB67D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F-4473-A17C-A2EDFFB67D4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'IV-1 Risques professionnels'!$I$63:$I$65</c:f>
              <c:strCache>
                <c:ptCount val="3"/>
                <c:pt idx="0">
                  <c:v>Réalisé / Validé</c:v>
                </c:pt>
                <c:pt idx="1">
                  <c:v>A réactualiser</c:v>
                </c:pt>
                <c:pt idx="2">
                  <c:v>A réaliser</c:v>
                </c:pt>
              </c:strCache>
            </c:strRef>
          </c:cat>
          <c:val>
            <c:numRef>
              <c:f>'IV-1 Risques professionnels'!$J$63:$J$65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529-494A-BE57-64B755BE2E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29-494A-BE57-64B755BE2E9C}"/>
              </c:ext>
            </c:extLst>
          </c:dPt>
          <c:dPt>
            <c:idx val="1"/>
            <c:bubble3D val="0"/>
            <c:spPr>
              <a:solidFill>
                <a:srgbClr val="E274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529-494A-BE57-64B755BE2E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529-494A-BE57-64B755BE2E9C}"/>
              </c:ext>
            </c:extLst>
          </c:dPt>
          <c:dLbls>
            <c:dLbl>
              <c:idx val="0"/>
              <c:layout>
                <c:manualLayout>
                  <c:x val="4.5325779036827059E-2"/>
                  <c:y val="-9.4899169632265759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chemeClr val="bg1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7567"/>
                        <a:gd name="adj2" fmla="val 30095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3529-494A-BE57-64B755BE2E9C}"/>
                </c:ext>
              </c:extLst>
            </c:dLbl>
            <c:dLbl>
              <c:idx val="1"/>
              <c:layout>
                <c:manualLayout>
                  <c:x val="7.2727272727272599E-2"/>
                  <c:y val="6.31370141077911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chemeClr val="bg1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55063"/>
                        <a:gd name="adj2" fmla="val 2832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3529-494A-BE57-64B755BE2E9C}"/>
                </c:ext>
              </c:extLst>
            </c:dLbl>
            <c:dLbl>
              <c:idx val="2"/>
              <c:layout>
                <c:manualLayout>
                  <c:x val="-3.7771482530689328E-2"/>
                  <c:y val="-0.14234875444839859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chemeClr val="bg1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9863"/>
                        <a:gd name="adj2" fmla="val 24430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3529-494A-BE57-64B755BE2E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'IV-1 Risques professionnels'!$I$63:$I$65</c:f>
              <c:strCache>
                <c:ptCount val="3"/>
                <c:pt idx="0">
                  <c:v>Réalisé / Validé</c:v>
                </c:pt>
                <c:pt idx="1">
                  <c:v>A réactualiser</c:v>
                </c:pt>
                <c:pt idx="2">
                  <c:v>A réaliser</c:v>
                </c:pt>
              </c:strCache>
            </c:strRef>
          </c:cat>
          <c:val>
            <c:numRef>
              <c:f>'IV-1 Risques professionnels'!$K$63:$K$65</c:f>
              <c:numCache>
                <c:formatCode>0%</c:formatCode>
                <c:ptCount val="3"/>
                <c:pt idx="0">
                  <c:v>0.36</c:v>
                </c:pt>
                <c:pt idx="1">
                  <c:v>0.21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9-494A-BE57-64B755BE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3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F2-44E7-B01C-8C32F82AEFB5}"/>
              </c:ext>
            </c:extLst>
          </c:dPt>
          <c:dPt>
            <c:idx val="1"/>
            <c:bubble3D val="0"/>
            <c:spPr>
              <a:solidFill>
                <a:srgbClr val="BD92DE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F2-44E7-B01C-8C32F82AE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('IV-3 Congés raison de santé'!$B$5,'IV-3 Congés raison de santé'!$B$8)</c:f>
              <c:strCache>
                <c:ptCount val="2"/>
                <c:pt idx="0">
                  <c:v>enseignant</c:v>
                </c:pt>
                <c:pt idx="1">
                  <c:v>BIATSS</c:v>
                </c:pt>
              </c:strCache>
            </c:strRef>
          </c:cat>
          <c:val>
            <c:numRef>
              <c:f>('IV-3 Congés raison de santé'!$F$6,'IV-3 Congés raison de santé'!$F$9)</c:f>
              <c:numCache>
                <c:formatCode>General</c:formatCode>
                <c:ptCount val="2"/>
                <c:pt idx="0">
                  <c:v>111</c:v>
                </c:pt>
                <c:pt idx="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503-9F96-297CCCE10E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71689887473656"/>
          <c:y val="0.12185063939418207"/>
          <c:w val="0.73856620225052694"/>
          <c:h val="0.61443759290113265"/>
        </c:manualLayout>
      </c:layout>
      <c:pie3DChart>
        <c:varyColors val="1"/>
        <c:ser>
          <c:idx val="0"/>
          <c:order val="0"/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422-47E0-BA8B-4E8F3A1FBD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422-47E0-BA8B-4E8F3A1FBD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'IV-3 Congés raison de santé'!$C$10:$C$11</c:f>
              <c:strCache>
                <c:ptCount val="2"/>
                <c:pt idx="0">
                  <c:v>Titulaire</c:v>
                </c:pt>
                <c:pt idx="1">
                  <c:v>Contractuel</c:v>
                </c:pt>
              </c:strCache>
            </c:strRef>
          </c:cat>
          <c:val>
            <c:numRef>
              <c:f>'IV-3 Congés raison de santé'!$F$10:$F$11</c:f>
              <c:numCache>
                <c:formatCode>General</c:formatCode>
                <c:ptCount val="2"/>
                <c:pt idx="0">
                  <c:v>241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2-47E0-BA8B-4E8F3A1FBD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B0-4195-81D7-370752635CC5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B0-4195-81D7-370752635C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'IV-3 Congés raison de santé'!$D$3:$E$3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'IV-3 Congés raison de santé'!$D$12:$E$12</c:f>
              <c:numCache>
                <c:formatCode>General</c:formatCode>
                <c:ptCount val="2"/>
                <c:pt idx="0">
                  <c:v>276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0-4195-81D7-370752635C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61447842275527E-2"/>
          <c:y val="8.9385474860335198E-2"/>
          <c:w val="0.94578428859183294"/>
          <c:h val="0.57487235883224097"/>
        </c:manualLayout>
      </c:layout>
      <c:lineChart>
        <c:grouping val="standard"/>
        <c:varyColors val="0"/>
        <c:ser>
          <c:idx val="0"/>
          <c:order val="0"/>
          <c:tx>
            <c:strRef>
              <c:f>'IV-3 Congés raison de santé'!$B$19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'IV-3 Congés raison de santé'!$C$18:$M$18</c:f>
              <c:strCache>
                <c:ptCount val="11"/>
                <c:pt idx="0">
                  <c:v>&lt; 20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</c:v>
                </c:pt>
              </c:strCache>
            </c:strRef>
          </c:cat>
          <c:val>
            <c:numRef>
              <c:f>'IV-3 Congés raison de santé'!$C$19:$M$19</c:f>
              <c:numCache>
                <c:formatCode>General</c:formatCode>
                <c:ptCount val="11"/>
                <c:pt idx="1">
                  <c:v>15</c:v>
                </c:pt>
                <c:pt idx="2">
                  <c:v>17</c:v>
                </c:pt>
                <c:pt idx="3">
                  <c:v>33</c:v>
                </c:pt>
                <c:pt idx="4">
                  <c:v>34</c:v>
                </c:pt>
                <c:pt idx="5">
                  <c:v>39</c:v>
                </c:pt>
                <c:pt idx="6">
                  <c:v>36</c:v>
                </c:pt>
                <c:pt idx="7">
                  <c:v>44</c:v>
                </c:pt>
                <c:pt idx="8">
                  <c:v>42</c:v>
                </c:pt>
                <c:pt idx="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A1-417E-A470-6833942A1F0C}"/>
            </c:ext>
          </c:extLst>
        </c:ser>
        <c:ser>
          <c:idx val="1"/>
          <c:order val="1"/>
          <c:tx>
            <c:strRef>
              <c:f>'IV-3 Congés raison de santé'!$B$20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'IV-3 Congés raison de santé'!$C$18:$M$18</c:f>
              <c:strCache>
                <c:ptCount val="11"/>
                <c:pt idx="0">
                  <c:v>&lt; 20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 65</c:v>
                </c:pt>
              </c:strCache>
            </c:strRef>
          </c:cat>
          <c:val>
            <c:numRef>
              <c:f>'IV-3 Congés raison de santé'!$C$20:$M$20</c:f>
              <c:numCache>
                <c:formatCode>General</c:formatCode>
                <c:ptCount val="11"/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23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1-417E-A470-6833942A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728520"/>
        <c:axId val="301729176"/>
      </c:lineChart>
      <c:catAx>
        <c:axId val="30172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29176"/>
        <c:crosses val="autoZero"/>
        <c:auto val="1"/>
        <c:lblAlgn val="ctr"/>
        <c:lblOffset val="100"/>
        <c:noMultiLvlLbl val="0"/>
      </c:catAx>
      <c:valAx>
        <c:axId val="3017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2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santé'!$C$32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'IV-3 Congés raison de santé'!$B$34:$B$39</c:f>
              <c:strCache>
                <c:ptCount val="6"/>
                <c:pt idx="0">
                  <c:v>Grave maladie</c:v>
                </c:pt>
                <c:pt idx="1">
                  <c:v>Accident service</c:v>
                </c:pt>
                <c:pt idx="2">
                  <c:v>Congé longue durée</c:v>
                </c:pt>
                <c:pt idx="3">
                  <c:v>Congé longue maladie</c:v>
                </c:pt>
                <c:pt idx="4">
                  <c:v>CITIS</c:v>
                </c:pt>
                <c:pt idx="5">
                  <c:v>Congé ordinaire de maladie</c:v>
                </c:pt>
              </c:strCache>
            </c:strRef>
          </c:cat>
          <c:val>
            <c:numRef>
              <c:f>'IV-3 Congés raison de santé'!$C$33:$C$39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D4E-BB4A-FE0C7D31BF59}"/>
            </c:ext>
          </c:extLst>
        </c:ser>
        <c:ser>
          <c:idx val="1"/>
          <c:order val="1"/>
          <c:tx>
            <c:strRef>
              <c:f>'IV-3 Congés raison de santé'!$D$32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'IV-3 Congés raison de santé'!$B$34:$B$39</c:f>
              <c:strCache>
                <c:ptCount val="6"/>
                <c:pt idx="0">
                  <c:v>Grave maladie</c:v>
                </c:pt>
                <c:pt idx="1">
                  <c:v>Accident service</c:v>
                </c:pt>
                <c:pt idx="2">
                  <c:v>Congé longue durée</c:v>
                </c:pt>
                <c:pt idx="3">
                  <c:v>Congé longue maladie</c:v>
                </c:pt>
                <c:pt idx="4">
                  <c:v>CITIS</c:v>
                </c:pt>
                <c:pt idx="5">
                  <c:v>Congé ordinaire de maladie</c:v>
                </c:pt>
              </c:strCache>
            </c:strRef>
          </c:cat>
          <c:val>
            <c:numRef>
              <c:f>'IV-3 Congés raison de santé'!$D$33:$D$39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9-4D4E-BB4A-FE0C7D31B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743936"/>
        <c:axId val="301747872"/>
      </c:barChart>
      <c:catAx>
        <c:axId val="3017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47872"/>
        <c:crosses val="autoZero"/>
        <c:auto val="1"/>
        <c:lblAlgn val="ctr"/>
        <c:lblOffset val="100"/>
        <c:noMultiLvlLbl val="0"/>
      </c:catAx>
      <c:valAx>
        <c:axId val="30174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santé'!$C$46</c:f>
              <c:strCache>
                <c:ptCount val="1"/>
                <c:pt idx="0">
                  <c:v>BIATSS</c:v>
                </c:pt>
              </c:strCache>
            </c:strRef>
          </c:tx>
          <c:spPr>
            <a:solidFill>
              <a:srgbClr val="BD92DE"/>
            </a:solidFill>
            <a:ln>
              <a:noFill/>
            </a:ln>
            <a:effectLst/>
          </c:spPr>
          <c:invertIfNegative val="0"/>
          <c:cat>
            <c:strRef>
              <c:f>'IV-3 Congés raison de santé'!$B$47:$B$53</c:f>
              <c:strCache>
                <c:ptCount val="7"/>
                <c:pt idx="0">
                  <c:v>Maladie professionnelle ou imputable au serv.</c:v>
                </c:pt>
                <c:pt idx="1">
                  <c:v>Congé grave maladie</c:v>
                </c:pt>
                <c:pt idx="2">
                  <c:v>Congé suite accident de service ou de trajet</c:v>
                </c:pt>
                <c:pt idx="3">
                  <c:v>Congé longue durée</c:v>
                </c:pt>
                <c:pt idx="4">
                  <c:v>Congé longue maladie</c:v>
                </c:pt>
                <c:pt idx="5">
                  <c:v>Congé invalidité temporaire imputable au serv</c:v>
                </c:pt>
                <c:pt idx="6">
                  <c:v>Congé de maladie ordinaire</c:v>
                </c:pt>
              </c:strCache>
            </c:strRef>
          </c:cat>
          <c:val>
            <c:numRef>
              <c:f>'IV-3 Congés raison de santé'!$C$47:$C$53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13</c:v>
                </c:pt>
                <c:pt idx="6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551-A14C-92387C18E3C4}"/>
            </c:ext>
          </c:extLst>
        </c:ser>
        <c:ser>
          <c:idx val="1"/>
          <c:order val="1"/>
          <c:tx>
            <c:strRef>
              <c:f>'IV-3 Congés raison de santé'!$D$46</c:f>
              <c:strCache>
                <c:ptCount val="1"/>
                <c:pt idx="0">
                  <c:v>Enseignants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'IV-3 Congés raison de santé'!$B$47:$B$53</c:f>
              <c:strCache>
                <c:ptCount val="7"/>
                <c:pt idx="0">
                  <c:v>Maladie professionnelle ou imputable au serv.</c:v>
                </c:pt>
                <c:pt idx="1">
                  <c:v>Congé grave maladie</c:v>
                </c:pt>
                <c:pt idx="2">
                  <c:v>Congé suite accident de service ou de trajet</c:v>
                </c:pt>
                <c:pt idx="3">
                  <c:v>Congé longue durée</c:v>
                </c:pt>
                <c:pt idx="4">
                  <c:v>Congé longue maladie</c:v>
                </c:pt>
                <c:pt idx="5">
                  <c:v>Congé invalidité temporaire imputable au serv</c:v>
                </c:pt>
                <c:pt idx="6">
                  <c:v>Congé de maladie ordinaire</c:v>
                </c:pt>
              </c:strCache>
            </c:strRef>
          </c:cat>
          <c:val>
            <c:numRef>
              <c:f>'IV-3 Congés raison de santé'!$D$47:$D$53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551-A14C-92387C18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474528"/>
        <c:axId val="714165296"/>
      </c:barChart>
      <c:catAx>
        <c:axId val="30447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165296"/>
        <c:crosses val="autoZero"/>
        <c:auto val="1"/>
        <c:lblAlgn val="ctr"/>
        <c:lblOffset val="100"/>
        <c:noMultiLvlLbl val="0"/>
      </c:catAx>
      <c:valAx>
        <c:axId val="71416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44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santé'!$C$60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'IV-3 Congés raison de santé'!$B$61:$B$67</c:f>
              <c:strCache>
                <c:ptCount val="7"/>
                <c:pt idx="0">
                  <c:v>Maladie pro</c:v>
                </c:pt>
                <c:pt idx="1">
                  <c:v>Grave maladie</c:v>
                </c:pt>
                <c:pt idx="2">
                  <c:v>Accident service</c:v>
                </c:pt>
                <c:pt idx="3">
                  <c:v>Congé longue durée</c:v>
                </c:pt>
                <c:pt idx="4">
                  <c:v>Congé longue maladie</c:v>
                </c:pt>
                <c:pt idx="5">
                  <c:v>CITIS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santé'!$C$61:$C$67</c:f>
              <c:numCache>
                <c:formatCode>General</c:formatCode>
                <c:ptCount val="7"/>
                <c:pt idx="1">
                  <c:v>1</c:v>
                </c:pt>
                <c:pt idx="2">
                  <c:v>7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5-4B4A-A672-6048EC5A8F73}"/>
            </c:ext>
          </c:extLst>
        </c:ser>
        <c:ser>
          <c:idx val="1"/>
          <c:order val="1"/>
          <c:tx>
            <c:strRef>
              <c:f>'IV-3 Congés raison de santé'!$D$60</c:f>
              <c:strCache>
                <c:ptCount val="1"/>
                <c:pt idx="0">
                  <c:v>Titulaires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'IV-3 Congés raison de santé'!$B$61:$B$67</c:f>
              <c:strCache>
                <c:ptCount val="7"/>
                <c:pt idx="0">
                  <c:v>Maladie pro</c:v>
                </c:pt>
                <c:pt idx="1">
                  <c:v>Grave maladie</c:v>
                </c:pt>
                <c:pt idx="2">
                  <c:v>Accident service</c:v>
                </c:pt>
                <c:pt idx="3">
                  <c:v>Congé longue durée</c:v>
                </c:pt>
                <c:pt idx="4">
                  <c:v>Congé longue maladie</c:v>
                </c:pt>
                <c:pt idx="5">
                  <c:v>CITIS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santé'!$D$61:$D$67</c:f>
              <c:numCache>
                <c:formatCode>General</c:formatCode>
                <c:ptCount val="7"/>
                <c:pt idx="0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14</c:v>
                </c:pt>
                <c:pt idx="6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5-4B4A-A672-6048EC5A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777728"/>
        <c:axId val="297778056"/>
      </c:barChart>
      <c:catAx>
        <c:axId val="29777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7778056"/>
        <c:crosses val="autoZero"/>
        <c:auto val="1"/>
        <c:lblAlgn val="ctr"/>
        <c:lblOffset val="100"/>
        <c:noMultiLvlLbl val="0"/>
      </c:catAx>
      <c:valAx>
        <c:axId val="297778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77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7030A0"/>
            </a:solidFill>
            <a:ln>
              <a:noFill/>
            </a:ln>
          </c:spPr>
          <c:dPt>
            <c:idx val="0"/>
            <c:bubble3D val="0"/>
            <c:spPr>
              <a:solidFill>
                <a:srgbClr val="7030A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B81-4C7D-83A8-B5B7577D8907}"/>
              </c:ext>
            </c:extLst>
          </c:dPt>
          <c:dPt>
            <c:idx val="1"/>
            <c:bubble3D val="0"/>
            <c:spPr>
              <a:solidFill>
                <a:srgbClr val="BD92DE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B81-4C7D-83A8-B5B7577D89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('IV-3 Congés raison de santé'!$P$5,'IV-3 Congés raison de santé'!$P$8)</c:f>
              <c:strCache>
                <c:ptCount val="2"/>
                <c:pt idx="0">
                  <c:v>enseignant</c:v>
                </c:pt>
                <c:pt idx="1">
                  <c:v>BIATSS</c:v>
                </c:pt>
              </c:strCache>
            </c:strRef>
          </c:cat>
          <c:val>
            <c:numRef>
              <c:f>('IV-3 Congés raison de santé'!$T$6,'IV-3 Congés raison de santé'!$T$10)</c:f>
              <c:numCache>
                <c:formatCode>General</c:formatCode>
                <c:ptCount val="2"/>
                <c:pt idx="0">
                  <c:v>3011</c:v>
                </c:pt>
                <c:pt idx="1">
                  <c:v>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81-4C7D-83A8-B5B7577D89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0E6-4CE0-BD7F-E43E98BBC91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0E6-4CE0-BD7F-E43E98BBC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'IV-3 Congés raison de santé'!$Q$10:$Q$11</c:f>
              <c:strCache>
                <c:ptCount val="2"/>
                <c:pt idx="0">
                  <c:v>Titulaire</c:v>
                </c:pt>
                <c:pt idx="1">
                  <c:v>Contractuel</c:v>
                </c:pt>
              </c:strCache>
            </c:strRef>
          </c:cat>
          <c:val>
            <c:numRef>
              <c:f>'IV-3 Congés raison de santé'!$T$10:$T$11</c:f>
              <c:numCache>
                <c:formatCode>General</c:formatCode>
                <c:ptCount val="2"/>
                <c:pt idx="0">
                  <c:v>10808</c:v>
                </c:pt>
                <c:pt idx="1">
                  <c:v>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E6-4CE0-BD7F-E43E98BBC9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agents contractuels par type de contrats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AB-46CF-BF94-1B9002C76D6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3AB-46CF-BF94-1B9002C76D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'I-2.1 Effectif Global'!$AW$5:$AW$6</c:f>
              <c:strCache>
                <c:ptCount val="2"/>
                <c:pt idx="0">
                  <c:v>CDI</c:v>
                </c:pt>
                <c:pt idx="1">
                  <c:v>CDD</c:v>
                </c:pt>
              </c:strCache>
            </c:strRef>
          </c:cat>
          <c:val>
            <c:numRef>
              <c:f>'I-2.1 Effectif Global'!$AZ$5:$AZ$6</c:f>
              <c:numCache>
                <c:formatCode>General</c:formatCode>
                <c:ptCount val="2"/>
                <c:pt idx="0">
                  <c:v>134</c:v>
                </c:pt>
                <c:pt idx="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B-46CF-BF94-1B9002C7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18-4D83-B2C3-2DF57D22E9D5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18-4D83-B2C3-2DF57D22E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'IV-3 Congés raison de santé'!$R$3:$S$3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'IV-3 Congés raison de santé'!$R$12:$S$12</c:f>
              <c:numCache>
                <c:formatCode>General</c:formatCode>
                <c:ptCount val="2"/>
                <c:pt idx="0">
                  <c:v>11387</c:v>
                </c:pt>
                <c:pt idx="1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8-4D83-B2C3-2DF57D22E9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'IV-3 Congés raison de santé'!$P$18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'IV-3 Congés raison de santé'!$Q$17:$AA$17</c:f>
              <c:strCache>
                <c:ptCount val="11"/>
                <c:pt idx="0">
                  <c:v>18-19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 ans et +</c:v>
                </c:pt>
              </c:strCache>
            </c:strRef>
          </c:cat>
          <c:val>
            <c:numRef>
              <c:f>'IV-3 Congés raison de santé'!$Q$18:$AA$18</c:f>
              <c:numCache>
                <c:formatCode>General</c:formatCode>
                <c:ptCount val="11"/>
                <c:pt idx="1">
                  <c:v>410</c:v>
                </c:pt>
                <c:pt idx="2">
                  <c:v>611</c:v>
                </c:pt>
                <c:pt idx="3">
                  <c:v>943</c:v>
                </c:pt>
                <c:pt idx="4">
                  <c:v>650</c:v>
                </c:pt>
                <c:pt idx="5">
                  <c:v>1508</c:v>
                </c:pt>
                <c:pt idx="6">
                  <c:v>1145</c:v>
                </c:pt>
                <c:pt idx="7">
                  <c:v>1953</c:v>
                </c:pt>
                <c:pt idx="8">
                  <c:v>2746</c:v>
                </c:pt>
                <c:pt idx="9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9-4A72-82FC-6B5D8C04A777}"/>
            </c:ext>
          </c:extLst>
        </c:ser>
        <c:ser>
          <c:idx val="1"/>
          <c:order val="1"/>
          <c:tx>
            <c:strRef>
              <c:f>'IV-3 Congés raison de santé'!$P$19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'IV-3 Congés raison de santé'!$Q$17:$AA$17</c:f>
              <c:strCache>
                <c:ptCount val="11"/>
                <c:pt idx="0">
                  <c:v>18-19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 ans et +</c:v>
                </c:pt>
              </c:strCache>
            </c:strRef>
          </c:cat>
          <c:val>
            <c:numRef>
              <c:f>'IV-3 Congés raison de santé'!$Q$19:$AA$19</c:f>
              <c:numCache>
                <c:formatCode>General</c:formatCode>
                <c:ptCount val="11"/>
                <c:pt idx="1">
                  <c:v>15</c:v>
                </c:pt>
                <c:pt idx="2">
                  <c:v>188</c:v>
                </c:pt>
                <c:pt idx="3">
                  <c:v>197</c:v>
                </c:pt>
                <c:pt idx="4">
                  <c:v>251</c:v>
                </c:pt>
                <c:pt idx="5">
                  <c:v>659</c:v>
                </c:pt>
                <c:pt idx="6">
                  <c:v>908</c:v>
                </c:pt>
                <c:pt idx="7">
                  <c:v>471</c:v>
                </c:pt>
                <c:pt idx="8">
                  <c:v>1071</c:v>
                </c:pt>
                <c:pt idx="9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9-4A72-82FC-6B5D8C04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728520"/>
        <c:axId val="301729176"/>
      </c:lineChart>
      <c:catAx>
        <c:axId val="30172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29176"/>
        <c:crosses val="autoZero"/>
        <c:auto val="1"/>
        <c:lblAlgn val="ctr"/>
        <c:lblOffset val="100"/>
        <c:noMultiLvlLbl val="0"/>
      </c:catAx>
      <c:valAx>
        <c:axId val="3017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2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santé'!$Q$33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'IV-3 Congés raison de santé'!$P$34:$P$40</c:f>
              <c:strCache>
                <c:ptCount val="7"/>
                <c:pt idx="0">
                  <c:v>Congé accident travail</c:v>
                </c:pt>
                <c:pt idx="1">
                  <c:v>Maladie pro.</c:v>
                </c:pt>
                <c:pt idx="2">
                  <c:v>Congé grave maladie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santé'!$Q$34:$Q$40</c:f>
              <c:numCache>
                <c:formatCode>General</c:formatCode>
                <c:ptCount val="7"/>
                <c:pt idx="0">
                  <c:v>26</c:v>
                </c:pt>
                <c:pt idx="1">
                  <c:v>169</c:v>
                </c:pt>
                <c:pt idx="2">
                  <c:v>299</c:v>
                </c:pt>
                <c:pt idx="3">
                  <c:v>589</c:v>
                </c:pt>
                <c:pt idx="4">
                  <c:v>907</c:v>
                </c:pt>
                <c:pt idx="5">
                  <c:v>1981</c:v>
                </c:pt>
                <c:pt idx="6">
                  <c:v>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F-4BFA-B7FB-02BA82456E56}"/>
            </c:ext>
          </c:extLst>
        </c:ser>
        <c:ser>
          <c:idx val="1"/>
          <c:order val="1"/>
          <c:tx>
            <c:strRef>
              <c:f>'IV-3 Congés raison de santé'!$R$33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'IV-3 Congés raison de santé'!$P$34:$P$40</c:f>
              <c:strCache>
                <c:ptCount val="7"/>
                <c:pt idx="0">
                  <c:v>Congé accident travail</c:v>
                </c:pt>
                <c:pt idx="1">
                  <c:v>Maladie pro.</c:v>
                </c:pt>
                <c:pt idx="2">
                  <c:v>Congé grave maladie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santé'!$R$34:$R$40</c:f>
              <c:numCache>
                <c:formatCode>General</c:formatCode>
                <c:ptCount val="7"/>
                <c:pt idx="0">
                  <c:v>301</c:v>
                </c:pt>
                <c:pt idx="3">
                  <c:v>547</c:v>
                </c:pt>
                <c:pt idx="4">
                  <c:v>363</c:v>
                </c:pt>
                <c:pt idx="6">
                  <c:v>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F-4BFA-B7FB-02BA8245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743936"/>
        <c:axId val="301747872"/>
      </c:barChart>
      <c:catAx>
        <c:axId val="3017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47872"/>
        <c:crosses val="autoZero"/>
        <c:auto val="1"/>
        <c:lblAlgn val="ctr"/>
        <c:lblOffset val="100"/>
        <c:noMultiLvlLbl val="0"/>
      </c:catAx>
      <c:valAx>
        <c:axId val="301747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43936"/>
        <c:crosses val="max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santé'!$Q$46</c:f>
              <c:strCache>
                <c:ptCount val="1"/>
                <c:pt idx="0">
                  <c:v>BIATSS</c:v>
                </c:pt>
              </c:strCache>
            </c:strRef>
          </c:tx>
          <c:spPr>
            <a:solidFill>
              <a:srgbClr val="BD92D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'IV-3 Congés raison de santé'!$P$47:$P$54</c15:sqref>
                  </c15:fullRef>
                </c:ext>
              </c:extLst>
              <c:f>'IV-3 Congés raison de santé'!$P$47:$P$53</c:f>
              <c:strCache>
                <c:ptCount val="7"/>
                <c:pt idx="0">
                  <c:v>Maladie pro.</c:v>
                </c:pt>
                <c:pt idx="1">
                  <c:v>Congé grave maladie</c:v>
                </c:pt>
                <c:pt idx="2">
                  <c:v>Congé accident travail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'IV-3 Congés raison de santé'!$Q$47:$Q$54</c15:sqref>
                  </c15:fullRef>
                </c:ext>
              </c:extLst>
              <c:f>'IV-3 Congés raison de santé'!$Q$47:$Q$53</c:f>
              <c:numCache>
                <c:formatCode>General</c:formatCode>
                <c:ptCount val="7"/>
                <c:pt idx="0">
                  <c:v>169</c:v>
                </c:pt>
                <c:pt idx="1">
                  <c:v>299</c:v>
                </c:pt>
                <c:pt idx="2">
                  <c:v>327</c:v>
                </c:pt>
                <c:pt idx="3">
                  <c:v>1132</c:v>
                </c:pt>
                <c:pt idx="4">
                  <c:v>887</c:v>
                </c:pt>
                <c:pt idx="5">
                  <c:v>1981</c:v>
                </c:pt>
                <c:pt idx="6">
                  <c:v>7940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D-4408-840C-003EA56C8713}"/>
            </c:ext>
          </c:extLst>
        </c:ser>
        <c:ser>
          <c:idx val="1"/>
          <c:order val="1"/>
          <c:tx>
            <c:strRef>
              <c:f>'IV-3 Congés raison de santé'!$R$46</c:f>
              <c:strCache>
                <c:ptCount val="1"/>
                <c:pt idx="0">
                  <c:v>Enseignants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'IV-3 Congés raison de santé'!$P$47:$P$54</c15:sqref>
                  </c15:fullRef>
                </c:ext>
              </c:extLst>
              <c:f>'IV-3 Congés raison de santé'!$P$47:$P$53</c:f>
              <c:strCache>
                <c:ptCount val="7"/>
                <c:pt idx="0">
                  <c:v>Maladie pro.</c:v>
                </c:pt>
                <c:pt idx="1">
                  <c:v>Congé grave maladie</c:v>
                </c:pt>
                <c:pt idx="2">
                  <c:v>Congé accident travail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'IV-3 Congés raison de santé'!$R$47:$R$54</c15:sqref>
                  </c15:fullRef>
                </c:ext>
              </c:extLst>
              <c:f>'IV-3 Congés raison de santé'!$R$47:$R$53</c:f>
              <c:numCache>
                <c:formatCode>General</c:formatCode>
                <c:ptCount val="7"/>
                <c:pt idx="3">
                  <c:v>4</c:v>
                </c:pt>
                <c:pt idx="4">
                  <c:v>383</c:v>
                </c:pt>
                <c:pt idx="6">
                  <c:v>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D-4408-840C-003EA56C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474528"/>
        <c:axId val="714165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'IV-3 Congés raison de santé'!$S$46</c15:sqref>
                        </c15:formulaRef>
                      </c:ext>
                    </c:extLst>
                    <c:strCache>
                      <c:ptCount val="1"/>
                      <c:pt idx="0">
                        <c:v>Total général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'IV-3 Congés raison de santé'!$P$47:$P$54</c15:sqref>
                        </c15:fullRef>
                        <c15:formulaRef>
                          <c15:sqref>'IV-3 Congés raison de santé'!$P$47:$P$53</c15:sqref>
                        </c15:formulaRef>
                      </c:ext>
                    </c:extLst>
                    <c:strCache>
                      <c:ptCount val="7"/>
                      <c:pt idx="0">
                        <c:v>Maladie pro.</c:v>
                      </c:pt>
                      <c:pt idx="1">
                        <c:v>Congé grave maladie</c:v>
                      </c:pt>
                      <c:pt idx="2">
                        <c:v>Congé accident travail</c:v>
                      </c:pt>
                      <c:pt idx="3">
                        <c:v>CITIS</c:v>
                      </c:pt>
                      <c:pt idx="4">
                        <c:v>Congé longue maladie</c:v>
                      </c:pt>
                      <c:pt idx="5">
                        <c:v>Congé longue durée</c:v>
                      </c:pt>
                      <c:pt idx="6">
                        <c:v>Congé ordinaire de maladie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'IV-3 Congés raison de santé'!$S$47:$S$54</c15:sqref>
                        </c15:fullRef>
                        <c15:formulaRef>
                          <c15:sqref>'IV-3 Congés raison de santé'!$S$47:$S$53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169</c:v>
                      </c:pt>
                      <c:pt idx="1">
                        <c:v>299</c:v>
                      </c:pt>
                      <c:pt idx="2">
                        <c:v>327</c:v>
                      </c:pt>
                      <c:pt idx="3">
                        <c:v>1136</c:v>
                      </c:pt>
                      <c:pt idx="4">
                        <c:v>1270</c:v>
                      </c:pt>
                      <c:pt idx="5">
                        <c:v>1981</c:v>
                      </c:pt>
                      <c:pt idx="6">
                        <c:v>10564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D6F-4AAF-97F9-38CCF9001463}"/>
                  </c:ext>
                </c:extLst>
              </c15:ser>
            </c15:filteredBarSeries>
          </c:ext>
        </c:extLst>
      </c:barChart>
      <c:catAx>
        <c:axId val="30447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165296"/>
        <c:crosses val="autoZero"/>
        <c:auto val="1"/>
        <c:lblAlgn val="ctr"/>
        <c:lblOffset val="100"/>
        <c:noMultiLvlLbl val="0"/>
      </c:catAx>
      <c:valAx>
        <c:axId val="714165296"/>
        <c:scaling>
          <c:orientation val="minMax"/>
          <c:max val="11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4474528"/>
        <c:crosses val="max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'IV-3 Congés raison de santé'!$Q$60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'IV-3 Congés raison de santé'!$P$61:$P$67</c:f>
              <c:strCache>
                <c:ptCount val="7"/>
                <c:pt idx="0">
                  <c:v>Maladie pro.</c:v>
                </c:pt>
                <c:pt idx="1">
                  <c:v>Congé grave maladie</c:v>
                </c:pt>
                <c:pt idx="2">
                  <c:v>Congé accident travail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santé'!$Q$61:$Q$67</c:f>
              <c:numCache>
                <c:formatCode>General</c:formatCode>
                <c:ptCount val="7"/>
                <c:pt idx="1">
                  <c:v>299</c:v>
                </c:pt>
                <c:pt idx="2">
                  <c:v>327</c:v>
                </c:pt>
                <c:pt idx="6">
                  <c:v>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E-476E-BF1D-308382A1F44E}"/>
            </c:ext>
          </c:extLst>
        </c:ser>
        <c:ser>
          <c:idx val="1"/>
          <c:order val="1"/>
          <c:tx>
            <c:strRef>
              <c:f>'IV-3 Congés raison de santé'!$R$60</c:f>
              <c:strCache>
                <c:ptCount val="1"/>
                <c:pt idx="0">
                  <c:v>Titulaires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'IV-3 Congés raison de santé'!$P$61:$P$67</c:f>
              <c:strCache>
                <c:ptCount val="7"/>
                <c:pt idx="0">
                  <c:v>Maladie pro.</c:v>
                </c:pt>
                <c:pt idx="1">
                  <c:v>Congé grave maladie</c:v>
                </c:pt>
                <c:pt idx="2">
                  <c:v>Congé accident travail</c:v>
                </c:pt>
                <c:pt idx="3">
                  <c:v>CITIS</c:v>
                </c:pt>
                <c:pt idx="4">
                  <c:v>Congé longue maladie</c:v>
                </c:pt>
                <c:pt idx="5">
                  <c:v>Congé longue durée</c:v>
                </c:pt>
                <c:pt idx="6">
                  <c:v>Congé ordinaire de maladie</c:v>
                </c:pt>
              </c:strCache>
            </c:strRef>
          </c:cat>
          <c:val>
            <c:numRef>
              <c:f>'IV-3 Congés raison de santé'!$R$61:$R$67</c:f>
              <c:numCache>
                <c:formatCode>General</c:formatCode>
                <c:ptCount val="7"/>
                <c:pt idx="0">
                  <c:v>169</c:v>
                </c:pt>
                <c:pt idx="3">
                  <c:v>1136</c:v>
                </c:pt>
                <c:pt idx="4">
                  <c:v>1270</c:v>
                </c:pt>
                <c:pt idx="5">
                  <c:v>1981</c:v>
                </c:pt>
                <c:pt idx="6">
                  <c:v>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E-476E-BF1D-308382A1F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777728"/>
        <c:axId val="297778056"/>
      </c:barChart>
      <c:catAx>
        <c:axId val="29777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7778056"/>
        <c:crosses val="autoZero"/>
        <c:auto val="1"/>
        <c:lblAlgn val="ctr"/>
        <c:lblOffset val="100"/>
        <c:noMultiLvlLbl val="0"/>
      </c:catAx>
      <c:valAx>
        <c:axId val="297778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7777728"/>
        <c:crosses val="max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39211052547338E-2"/>
          <c:y val="5.0925875644854741E-2"/>
          <c:w val="0.85367369075295407"/>
          <c:h val="0.8513783320437546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'V-1 Temps de travail'!$H$3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'V-1 Temps de travail'!$G$4:$G$13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travail'!$H$4:$H$13</c:f>
              <c:numCache>
                <c:formatCode>General</c:formatCode>
                <c:ptCount val="10"/>
                <c:pt idx="0">
                  <c:v>36</c:v>
                </c:pt>
                <c:pt idx="1">
                  <c:v>140</c:v>
                </c:pt>
                <c:pt idx="2">
                  <c:v>139</c:v>
                </c:pt>
                <c:pt idx="3">
                  <c:v>112</c:v>
                </c:pt>
                <c:pt idx="4">
                  <c:v>135</c:v>
                </c:pt>
                <c:pt idx="5">
                  <c:v>152</c:v>
                </c:pt>
                <c:pt idx="6">
                  <c:v>156</c:v>
                </c:pt>
                <c:pt idx="7">
                  <c:v>149</c:v>
                </c:pt>
                <c:pt idx="8">
                  <c:v>99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1-4514-91EE-835BD408A108}"/>
            </c:ext>
          </c:extLst>
        </c:ser>
        <c:ser>
          <c:idx val="2"/>
          <c:order val="2"/>
          <c:tx>
            <c:strRef>
              <c:f>'V-1 Temps de travail'!$I$3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travail'!$G$4:$G$13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travail'!$I$4:$I$13</c:f>
              <c:numCache>
                <c:formatCode>General</c:formatCode>
                <c:ptCount val="10"/>
                <c:pt idx="0">
                  <c:v>6</c:v>
                </c:pt>
                <c:pt idx="1">
                  <c:v>18</c:v>
                </c:pt>
                <c:pt idx="2">
                  <c:v>17</c:v>
                </c:pt>
                <c:pt idx="3">
                  <c:v>21</c:v>
                </c:pt>
                <c:pt idx="4">
                  <c:v>29</c:v>
                </c:pt>
                <c:pt idx="5">
                  <c:v>19</c:v>
                </c:pt>
                <c:pt idx="6">
                  <c:v>42</c:v>
                </c:pt>
                <c:pt idx="7">
                  <c:v>30</c:v>
                </c:pt>
                <c:pt idx="8">
                  <c:v>15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1-4514-91EE-835BD408A108}"/>
            </c:ext>
          </c:extLst>
        </c:ser>
        <c:ser>
          <c:idx val="3"/>
          <c:order val="3"/>
          <c:tx>
            <c:strRef>
              <c:f>'V-1 Temps de travail'!$J$3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travail'!$G$4:$G$13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travail'!$J$4:$J$13</c:f>
              <c:numCache>
                <c:formatCode>General</c:formatCode>
                <c:ptCount val="10"/>
                <c:pt idx="0">
                  <c:v>12</c:v>
                </c:pt>
                <c:pt idx="1">
                  <c:v>21</c:v>
                </c:pt>
                <c:pt idx="2">
                  <c:v>23</c:v>
                </c:pt>
                <c:pt idx="3">
                  <c:v>22</c:v>
                </c:pt>
                <c:pt idx="4">
                  <c:v>15</c:v>
                </c:pt>
                <c:pt idx="5">
                  <c:v>30</c:v>
                </c:pt>
                <c:pt idx="6">
                  <c:v>37</c:v>
                </c:pt>
                <c:pt idx="7">
                  <c:v>26</c:v>
                </c:pt>
                <c:pt idx="8">
                  <c:v>23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D-4638-B259-BBA7B25B13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7406816"/>
        <c:axId val="637409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'V-1 Temps de travail'!#REF!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'V-1 Temps de travail'!$G$4:$G$13</c15:sqref>
                        </c15:formulaRef>
                      </c:ext>
                    </c:extLst>
                    <c:strCache>
                      <c:ptCount val="10"/>
                      <c:pt idx="0">
                        <c:v>18-24</c:v>
                      </c:pt>
                      <c:pt idx="1">
                        <c:v>25-29</c:v>
                      </c:pt>
                      <c:pt idx="2">
                        <c:v>30-34</c:v>
                      </c:pt>
                      <c:pt idx="3">
                        <c:v>35-39</c:v>
                      </c:pt>
                      <c:pt idx="4">
                        <c:v>40-44</c:v>
                      </c:pt>
                      <c:pt idx="5">
                        <c:v>45-49</c:v>
                      </c:pt>
                      <c:pt idx="6">
                        <c:v>50-54</c:v>
                      </c:pt>
                      <c:pt idx="7">
                        <c:v>55-59</c:v>
                      </c:pt>
                      <c:pt idx="8">
                        <c:v>60-64</c:v>
                      </c:pt>
                      <c:pt idx="9">
                        <c:v>&gt; 65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'V-1 Temps de travail'!#REF!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A31-4514-91EE-835BD408A108}"/>
                  </c:ext>
                </c:extLst>
              </c15:ser>
            </c15:filteredBarSeries>
          </c:ext>
        </c:extLst>
      </c:barChart>
      <c:catAx>
        <c:axId val="6374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9112"/>
        <c:crosses val="autoZero"/>
        <c:auto val="1"/>
        <c:lblAlgn val="ctr"/>
        <c:lblOffset val="100"/>
        <c:noMultiLvlLbl val="0"/>
      </c:catAx>
      <c:valAx>
        <c:axId val="63740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67147856517928E-2"/>
          <c:y val="5.0925925925925923E-2"/>
          <c:w val="0.87232174103237092"/>
          <c:h val="0.869430722137727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'V-1 Temps de travail'!$H$35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'V-1 Temps de travail'!$G$36:$G$45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travail'!$H$36:$H$45</c:f>
              <c:numCache>
                <c:formatCode>General</c:formatCode>
                <c:ptCount val="10"/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E-4702-B8DA-4C37DDE27FE3}"/>
            </c:ext>
          </c:extLst>
        </c:ser>
        <c:ser>
          <c:idx val="2"/>
          <c:order val="2"/>
          <c:tx>
            <c:strRef>
              <c:f>'V-1 Temps de travail'!$I$35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travail'!$G$36:$G$45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travail'!$I$36:$I$45</c:f>
              <c:numCache>
                <c:formatCode>General</c:formatCode>
                <c:ptCount val="10"/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7E-4702-B8DA-4C37DDE27FE3}"/>
            </c:ext>
          </c:extLst>
        </c:ser>
        <c:ser>
          <c:idx val="3"/>
          <c:order val="3"/>
          <c:tx>
            <c:strRef>
              <c:f>'V-1 Temps de travail'!$J$35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travail'!$G$36:$G$45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travail'!$J$36:$J$45</c:f>
              <c:numCache>
                <c:formatCode>General</c:formatCode>
                <c:ptCount val="10"/>
                <c:pt idx="1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37E-4702-B8DA-4C37DDE27F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7406816"/>
        <c:axId val="637409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'V-1 Temps de travail'!#REF!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'V-1 Temps de travail'!$G$36:$G$45</c15:sqref>
                        </c15:formulaRef>
                      </c:ext>
                    </c:extLst>
                    <c:strCache>
                      <c:ptCount val="10"/>
                      <c:pt idx="0">
                        <c:v>18-24</c:v>
                      </c:pt>
                      <c:pt idx="1">
                        <c:v>25-29</c:v>
                      </c:pt>
                      <c:pt idx="2">
                        <c:v>30-34</c:v>
                      </c:pt>
                      <c:pt idx="3">
                        <c:v>35-39</c:v>
                      </c:pt>
                      <c:pt idx="4">
                        <c:v>40-44</c:v>
                      </c:pt>
                      <c:pt idx="5">
                        <c:v>45-49</c:v>
                      </c:pt>
                      <c:pt idx="6">
                        <c:v>50-54</c:v>
                      </c:pt>
                      <c:pt idx="7">
                        <c:v>55-59</c:v>
                      </c:pt>
                      <c:pt idx="8">
                        <c:v>60-64</c:v>
                      </c:pt>
                      <c:pt idx="9">
                        <c:v>&gt; 65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'V-1 Temps de travail'!#REF!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37E-4702-B8DA-4C37DDE27FE3}"/>
                  </c:ext>
                </c:extLst>
              </c15:ser>
            </c15:filteredBarSeries>
          </c:ext>
        </c:extLst>
      </c:barChart>
      <c:catAx>
        <c:axId val="6374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9112"/>
        <c:crosses val="autoZero"/>
        <c:auto val="1"/>
        <c:lblAlgn val="ctr"/>
        <c:lblOffset val="100"/>
        <c:noMultiLvlLbl val="0"/>
      </c:catAx>
      <c:valAx>
        <c:axId val="63740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67147856517928E-2"/>
          <c:y val="5.0925925925925923E-2"/>
          <c:w val="0.87232174103237092"/>
          <c:h val="0.73577136191309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'V-1 Temps de travail'!$H$88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travail'!$G$89:$G$98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travail'!$H$89:$H$98</c:f>
              <c:numCache>
                <c:formatCode>General</c:formatCode>
                <c:ptCount val="10"/>
                <c:pt idx="6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2-4A3A-A1AC-C2A0610E67EB}"/>
            </c:ext>
          </c:extLst>
        </c:ser>
        <c:ser>
          <c:idx val="1"/>
          <c:order val="1"/>
          <c:tx>
            <c:strRef>
              <c:f>'V-1 Temps de travail'!$I$88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'V-1 Temps de travail'!$G$89:$G$98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travail'!$I$89:$I$98</c:f>
              <c:numCache>
                <c:formatCode>General</c:formatCode>
                <c:ptCount val="10"/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2-4A3A-A1AC-C2A0610E67EB}"/>
            </c:ext>
          </c:extLst>
        </c:ser>
        <c:ser>
          <c:idx val="2"/>
          <c:order val="2"/>
          <c:tx>
            <c:strRef>
              <c:f>'V-1 Temps de travail'!$J$88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travail'!$G$89:$G$98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travail'!$J$89:$J$98</c:f>
              <c:numCache>
                <c:formatCode>General</c:formatCode>
                <c:ptCount val="10"/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2-4A3A-A1AC-C2A0610E67EB}"/>
            </c:ext>
          </c:extLst>
        </c:ser>
        <c:ser>
          <c:idx val="3"/>
          <c:order val="3"/>
          <c:tx>
            <c:strRef>
              <c:f>'V-1 Temps de travail'!$K$88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travail'!$G$89:$G$98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travail'!$K$89:$K$98</c:f>
              <c:numCache>
                <c:formatCode>General</c:formatCode>
                <c:ptCount val="10"/>
                <c:pt idx="1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7E2-4A3A-A1AC-C2A0610E67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7406816"/>
        <c:axId val="637409112"/>
        <c:extLst/>
      </c:barChart>
      <c:catAx>
        <c:axId val="6374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9112"/>
        <c:crosses val="autoZero"/>
        <c:auto val="1"/>
        <c:lblAlgn val="ctr"/>
        <c:lblOffset val="100"/>
        <c:noMultiLvlLbl val="0"/>
      </c:catAx>
      <c:valAx>
        <c:axId val="63740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67147856517928E-2"/>
          <c:y val="5.0925925925925923E-2"/>
          <c:w val="0.87232174103237092"/>
          <c:h val="0.874930051219325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'V-1 Temps de travail'!$H$140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travail'!$G$141:$G$150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travail'!$H$141:$H$150</c:f>
              <c:numCache>
                <c:formatCode>General</c:formatCode>
                <c:ptCount val="10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C-478A-8E7C-23BB5617B708}"/>
            </c:ext>
          </c:extLst>
        </c:ser>
        <c:ser>
          <c:idx val="1"/>
          <c:order val="1"/>
          <c:tx>
            <c:strRef>
              <c:f>'V-1 Temps de travail'!$I$140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'V-1 Temps de travail'!$G$141:$G$150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travail'!$I$141:$I$150</c:f>
              <c:numCache>
                <c:formatCode>General</c:formatCode>
                <c:ptCount val="10"/>
                <c:pt idx="1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C-478A-8E7C-23BB5617B708}"/>
            </c:ext>
          </c:extLst>
        </c:ser>
        <c:ser>
          <c:idx val="2"/>
          <c:order val="2"/>
          <c:tx>
            <c:strRef>
              <c:f>'V-1 Temps de travail'!$J$140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travail'!$G$141:$G$150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travail'!$J$141:$J$150</c:f>
              <c:numCache>
                <c:formatCode>General</c:formatCode>
                <c:ptCount val="10"/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C-478A-8E7C-23BB5617B708}"/>
            </c:ext>
          </c:extLst>
        </c:ser>
        <c:ser>
          <c:idx val="3"/>
          <c:order val="3"/>
          <c:tx>
            <c:strRef>
              <c:f>'V-1 Temps de travail'!$K$140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'V-1 Temps de travail'!$G$141:$G$150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&gt; 65 ans</c:v>
                </c:pt>
              </c:strCache>
            </c:strRef>
          </c:cat>
          <c:val>
            <c:numRef>
              <c:f>'V-1 Temps de travail'!$K$141:$K$150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AEC-478A-8E7C-23BB5617B7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7406816"/>
        <c:axId val="637409112"/>
        <c:extLst/>
      </c:barChart>
      <c:catAx>
        <c:axId val="6374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9112"/>
        <c:crosses val="autoZero"/>
        <c:auto val="1"/>
        <c:lblAlgn val="ctr"/>
        <c:lblOffset val="100"/>
        <c:noMultiLvlLbl val="0"/>
      </c:catAx>
      <c:valAx>
        <c:axId val="63740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4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Nombre d'agents en télétravail selon la tranche d'âge et le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'V-2 Télétravail'!$B$18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'V-2 Télétravail'!$A$19:$A$28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60-65</c:v>
                </c:pt>
                <c:pt idx="9">
                  <c:v>&gt; 65 ans</c:v>
                </c:pt>
              </c:strCache>
            </c:strRef>
          </c:cat>
          <c:val>
            <c:numRef>
              <c:f>'V-2 Télétravail'!$B$19:$B$28</c:f>
              <c:numCache>
                <c:formatCode>General</c:formatCode>
                <c:ptCount val="10"/>
                <c:pt idx="0">
                  <c:v>4</c:v>
                </c:pt>
                <c:pt idx="1">
                  <c:v>15</c:v>
                </c:pt>
                <c:pt idx="2">
                  <c:v>23</c:v>
                </c:pt>
                <c:pt idx="3">
                  <c:v>35</c:v>
                </c:pt>
                <c:pt idx="4">
                  <c:v>44</c:v>
                </c:pt>
                <c:pt idx="5">
                  <c:v>46</c:v>
                </c:pt>
                <c:pt idx="6">
                  <c:v>63</c:v>
                </c:pt>
                <c:pt idx="7">
                  <c:v>34</c:v>
                </c:pt>
                <c:pt idx="8">
                  <c:v>31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4-47BD-B39E-C2B6C29DD40D}"/>
            </c:ext>
          </c:extLst>
        </c:ser>
        <c:ser>
          <c:idx val="1"/>
          <c:order val="1"/>
          <c:tx>
            <c:strRef>
              <c:f>'V-2 Télétravail'!$C$18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'V-2 Télétravail'!$A$19:$A$28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60-65</c:v>
                </c:pt>
                <c:pt idx="9">
                  <c:v>&gt; 65 ans</c:v>
                </c:pt>
              </c:strCache>
            </c:strRef>
          </c:cat>
          <c:val>
            <c:numRef>
              <c:f>'V-2 Télétravail'!$C$19:$C$28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10</c:v>
                </c:pt>
                <c:pt idx="6">
                  <c:v>19</c:v>
                </c:pt>
                <c:pt idx="7">
                  <c:v>15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4-47BD-B39E-C2B6C29DD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52706792"/>
        <c:axId val="7527143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'V-2 Télétravail'!$D$18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'V-2 Télétravail'!$A$19:$A$28</c15:sqref>
                        </c15:formulaRef>
                      </c:ext>
                    </c:extLst>
                    <c:strCache>
                      <c:ptCount val="10"/>
                      <c:pt idx="0">
                        <c:v>18-24</c:v>
                      </c:pt>
                      <c:pt idx="1">
                        <c:v>25-29</c:v>
                      </c:pt>
                      <c:pt idx="2">
                        <c:v>30-34</c:v>
                      </c:pt>
                      <c:pt idx="3">
                        <c:v>35-39</c:v>
                      </c:pt>
                      <c:pt idx="4">
                        <c:v>40-44</c:v>
                      </c:pt>
                      <c:pt idx="5">
                        <c:v>45-49</c:v>
                      </c:pt>
                      <c:pt idx="6">
                        <c:v>50-54</c:v>
                      </c:pt>
                      <c:pt idx="7">
                        <c:v>55-59</c:v>
                      </c:pt>
                      <c:pt idx="8">
                        <c:v>60-65</c:v>
                      </c:pt>
                      <c:pt idx="9">
                        <c:v>&gt; 65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'V-2 Télétravail'!$D$19:$D$28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25</c:v>
                      </c:pt>
                      <c:pt idx="2">
                        <c:v>33</c:v>
                      </c:pt>
                      <c:pt idx="3">
                        <c:v>44</c:v>
                      </c:pt>
                      <c:pt idx="4">
                        <c:v>59</c:v>
                      </c:pt>
                      <c:pt idx="5">
                        <c:v>56</c:v>
                      </c:pt>
                      <c:pt idx="6">
                        <c:v>82</c:v>
                      </c:pt>
                      <c:pt idx="7">
                        <c:v>49</c:v>
                      </c:pt>
                      <c:pt idx="8">
                        <c:v>37</c:v>
                      </c:pt>
                      <c:pt idx="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644-47BD-B39E-C2B6C29DD40D}"/>
                  </c:ext>
                </c:extLst>
              </c15:ser>
            </c15:filteredBarSeries>
          </c:ext>
        </c:extLst>
      </c:barChart>
      <c:catAx>
        <c:axId val="75270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714336"/>
        <c:crosses val="autoZero"/>
        <c:auto val="1"/>
        <c:lblAlgn val="ctr"/>
        <c:lblOffset val="100"/>
        <c:noMultiLvlLbl val="0"/>
      </c:catAx>
      <c:valAx>
        <c:axId val="75271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70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kern="1200" spc="0" baseline="0">
                <a:solidFill>
                  <a:srgbClr val="595959"/>
                </a:solidFill>
                <a:effectLst/>
              </a:rPr>
              <a:t>Répartition des agents contractuels par sexe et type de contrats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'I-2.1 Effectif Global'!$AX$4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'I-2.1 Effectif Global'!$AW$5:$AW$6</c:f>
              <c:strCache>
                <c:ptCount val="2"/>
                <c:pt idx="0">
                  <c:v>CDI</c:v>
                </c:pt>
                <c:pt idx="1">
                  <c:v>CDD</c:v>
                </c:pt>
              </c:strCache>
            </c:strRef>
          </c:cat>
          <c:val>
            <c:numRef>
              <c:f>'I-2.1 Effectif Global'!$AX$5:$AX$6</c:f>
              <c:numCache>
                <c:formatCode>General</c:formatCode>
                <c:ptCount val="2"/>
                <c:pt idx="0">
                  <c:v>87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4-4DE3-8F41-9AE8B92448B4}"/>
            </c:ext>
          </c:extLst>
        </c:ser>
        <c:ser>
          <c:idx val="1"/>
          <c:order val="1"/>
          <c:tx>
            <c:strRef>
              <c:f>'I-2.1 Effectif Global'!$AY$4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'I-2.1 Effectif Global'!$AW$5:$AW$6</c:f>
              <c:strCache>
                <c:ptCount val="2"/>
                <c:pt idx="0">
                  <c:v>CDI</c:v>
                </c:pt>
                <c:pt idx="1">
                  <c:v>CDD</c:v>
                </c:pt>
              </c:strCache>
            </c:strRef>
          </c:cat>
          <c:val>
            <c:numRef>
              <c:f>'I-2.1 Effectif Global'!$AY$5:$AY$6</c:f>
              <c:numCache>
                <c:formatCode>General</c:formatCode>
                <c:ptCount val="2"/>
                <c:pt idx="0">
                  <c:v>47</c:v>
                </c:pt>
                <c:pt idx="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4-4DE3-8F41-9AE8B92448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8438888"/>
        <c:axId val="758442496"/>
      </c:barChart>
      <c:catAx>
        <c:axId val="75843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8442496"/>
        <c:crosses val="autoZero"/>
        <c:auto val="1"/>
        <c:lblAlgn val="ctr"/>
        <c:lblOffset val="100"/>
        <c:noMultiLvlLbl val="0"/>
      </c:catAx>
      <c:valAx>
        <c:axId val="7584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843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u="none" strike="noStrike" baseline="0">
                <a:effectLst/>
              </a:rPr>
              <a:t>Répartition des CET ouverts selon l'âge et le genre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'V-4 CET'!$B$4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'V-4 CET'!$A$5:$A$14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60-65</c:v>
                </c:pt>
                <c:pt idx="9">
                  <c:v>&gt; 65 ans</c:v>
                </c:pt>
              </c:strCache>
            </c:strRef>
          </c:cat>
          <c:val>
            <c:numRef>
              <c:f>'V-4 CET'!$B$5:$B$14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20</c:v>
                </c:pt>
                <c:pt idx="3">
                  <c:v>30</c:v>
                </c:pt>
                <c:pt idx="4">
                  <c:v>26</c:v>
                </c:pt>
                <c:pt idx="5">
                  <c:v>43</c:v>
                </c:pt>
                <c:pt idx="6">
                  <c:v>68</c:v>
                </c:pt>
                <c:pt idx="7">
                  <c:v>39</c:v>
                </c:pt>
                <c:pt idx="8">
                  <c:v>37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0-4AB8-9B19-4068AAD8B79C}"/>
            </c:ext>
          </c:extLst>
        </c:ser>
        <c:ser>
          <c:idx val="1"/>
          <c:order val="1"/>
          <c:tx>
            <c:strRef>
              <c:f>'V-4 CET'!$C$4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'V-4 CET'!$A$5:$A$14</c:f>
              <c:strCache>
                <c:ptCount val="10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60-65</c:v>
                </c:pt>
                <c:pt idx="9">
                  <c:v>&gt; 65 ans</c:v>
                </c:pt>
              </c:strCache>
            </c:strRef>
          </c:cat>
          <c:val>
            <c:numRef>
              <c:f>'V-4 CET'!$C$5:$C$14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21</c:v>
                </c:pt>
                <c:pt idx="6">
                  <c:v>27</c:v>
                </c:pt>
                <c:pt idx="7">
                  <c:v>22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0-4AB8-9B19-4068AAD8B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956512"/>
        <c:axId val="1231963072"/>
      </c:barChart>
      <c:catAx>
        <c:axId val="12319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963072"/>
        <c:crosses val="autoZero"/>
        <c:auto val="1"/>
        <c:lblAlgn val="ctr"/>
        <c:lblOffset val="100"/>
        <c:noMultiLvlLbl val="0"/>
      </c:catAx>
      <c:valAx>
        <c:axId val="123196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95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0" i="0" u="none" strike="noStrike" baseline="0">
                <a:effectLst/>
              </a:rPr>
              <a:t>Répartition des jours stockés sur CET selon la catégorie et le genre</a:t>
            </a:r>
            <a:endParaRPr lang="fr-FR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'V-4 CET'!$M$52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'V-4 CET'!$L$53:$L$55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'V-4 CET'!$M$53:$M$55</c:f>
              <c:numCache>
                <c:formatCode>General</c:formatCode>
                <c:ptCount val="3"/>
                <c:pt idx="0">
                  <c:v>184</c:v>
                </c:pt>
                <c:pt idx="1">
                  <c:v>237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C-49A7-9E08-AF1BC97B0AC8}"/>
            </c:ext>
          </c:extLst>
        </c:ser>
        <c:ser>
          <c:idx val="1"/>
          <c:order val="1"/>
          <c:tx>
            <c:strRef>
              <c:f>'V-4 CET'!$N$52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'V-4 CET'!$L$53:$L$55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'V-4 CET'!$N$53:$N$55</c:f>
              <c:numCache>
                <c:formatCode>General</c:formatCode>
                <c:ptCount val="3"/>
                <c:pt idx="0">
                  <c:v>207</c:v>
                </c:pt>
                <c:pt idx="1">
                  <c:v>73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C-49A7-9E08-AF1BC97B0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972584"/>
        <c:axId val="123197028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'V-4 CET'!$O$52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'V-4 CET'!$L$53:$L$55</c15:sqref>
                        </c15:formulaRef>
                      </c:ext>
                    </c:extLst>
                    <c:strCache>
                      <c:ptCount val="3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'V-4 CET'!$O$53:$O$55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391</c:v>
                      </c:pt>
                      <c:pt idx="1">
                        <c:v>310</c:v>
                      </c:pt>
                      <c:pt idx="2">
                        <c:v>289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03C-49A7-9E08-AF1BC97B0AC8}"/>
                  </c:ext>
                </c:extLst>
              </c15:ser>
            </c15:filteredBarSeries>
          </c:ext>
        </c:extLst>
      </c:barChart>
      <c:catAx>
        <c:axId val="1231972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970288"/>
        <c:crosses val="autoZero"/>
        <c:auto val="1"/>
        <c:lblAlgn val="ctr"/>
        <c:lblOffset val="100"/>
        <c:noMultiLvlLbl val="0"/>
      </c:catAx>
      <c:valAx>
        <c:axId val="123197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97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/>
              <a:t>Répartition du nombre de jours consommés en 2023 selon le sexe, la catégorie et le</a:t>
            </a:r>
            <a:r>
              <a:rPr lang="fr-FR" sz="1000" baseline="0"/>
              <a:t> type de consommation</a:t>
            </a:r>
            <a:endParaRPr lang="fr-FR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729151465100567E-2"/>
          <c:y val="0.18735421504507233"/>
          <c:w val="0.92032097813432445"/>
          <c:h val="0.55778606987801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'V-4 CET'!$T$6</c:f>
              <c:strCache>
                <c:ptCount val="1"/>
                <c:pt idx="0">
                  <c:v>Congés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'V-4 CET'!$R$7:$S$12</c:f>
              <c:multiLvlStrCache>
                <c:ptCount val="6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A</c:v>
                  </c:pt>
                  <c:pt idx="4">
                    <c:v>B</c:v>
                  </c:pt>
                  <c:pt idx="5">
                    <c:v>C</c:v>
                  </c:pt>
                </c:lvl>
                <c:lvl>
                  <c:pt idx="0">
                    <c:v>Femmes</c:v>
                  </c:pt>
                  <c:pt idx="3">
                    <c:v>Hommes</c:v>
                  </c:pt>
                </c:lvl>
              </c:multiLvlStrCache>
            </c:multiLvlStrRef>
          </c:cat>
          <c:val>
            <c:numRef>
              <c:f>'V-4 CET'!$T$7:$T$12</c:f>
              <c:numCache>
                <c:formatCode>General</c:formatCode>
                <c:ptCount val="6"/>
                <c:pt idx="0">
                  <c:v>25</c:v>
                </c:pt>
                <c:pt idx="1">
                  <c:v>23</c:v>
                </c:pt>
                <c:pt idx="2">
                  <c:v>16</c:v>
                </c:pt>
                <c:pt idx="3">
                  <c:v>13</c:v>
                </c:pt>
                <c:pt idx="4">
                  <c:v>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C-4979-BF7F-C15189A5B0A5}"/>
            </c:ext>
          </c:extLst>
        </c:ser>
        <c:ser>
          <c:idx val="1"/>
          <c:order val="1"/>
          <c:tx>
            <c:strRef>
              <c:f>'V-4 CET'!$U$6</c:f>
              <c:strCache>
                <c:ptCount val="1"/>
                <c:pt idx="0">
                  <c:v>Retraite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'V-4 CET'!$R$7:$S$12</c:f>
              <c:multiLvlStrCache>
                <c:ptCount val="6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A</c:v>
                  </c:pt>
                  <c:pt idx="4">
                    <c:v>B</c:v>
                  </c:pt>
                  <c:pt idx="5">
                    <c:v>C</c:v>
                  </c:pt>
                </c:lvl>
                <c:lvl>
                  <c:pt idx="0">
                    <c:v>Femmes</c:v>
                  </c:pt>
                  <c:pt idx="3">
                    <c:v>Hommes</c:v>
                  </c:pt>
                </c:lvl>
              </c:multiLvlStrCache>
            </c:multiLvlStrRef>
          </c:cat>
          <c:val>
            <c:numRef>
              <c:f>'V-4 CET'!$U$7:$U$12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C-4979-BF7F-C15189A5B0A5}"/>
            </c:ext>
          </c:extLst>
        </c:ser>
        <c:ser>
          <c:idx val="2"/>
          <c:order val="2"/>
          <c:tx>
            <c:strRef>
              <c:f>'V-4 CET'!$V$6</c:f>
              <c:strCache>
                <c:ptCount val="1"/>
                <c:pt idx="0">
                  <c:v>Indemnisation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'V-4 CET'!$R$7:$S$12</c:f>
              <c:multiLvlStrCache>
                <c:ptCount val="6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A</c:v>
                  </c:pt>
                  <c:pt idx="4">
                    <c:v>B</c:v>
                  </c:pt>
                  <c:pt idx="5">
                    <c:v>C</c:v>
                  </c:pt>
                </c:lvl>
                <c:lvl>
                  <c:pt idx="0">
                    <c:v>Femmes</c:v>
                  </c:pt>
                  <c:pt idx="3">
                    <c:v>Hommes</c:v>
                  </c:pt>
                </c:lvl>
              </c:multiLvlStrCache>
            </c:multiLvlStrRef>
          </c:cat>
          <c:val>
            <c:numRef>
              <c:f>'V-4 CET'!$V$7:$V$12</c:f>
              <c:numCache>
                <c:formatCode>General</c:formatCode>
                <c:ptCount val="6"/>
                <c:pt idx="0">
                  <c:v>31</c:v>
                </c:pt>
                <c:pt idx="1">
                  <c:v>49</c:v>
                </c:pt>
                <c:pt idx="2">
                  <c:v>8</c:v>
                </c:pt>
                <c:pt idx="3">
                  <c:v>85</c:v>
                </c:pt>
                <c:pt idx="4">
                  <c:v>19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C-4979-BF7F-C15189A5B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03200"/>
        <c:axId val="628998608"/>
      </c:barChart>
      <c:catAx>
        <c:axId val="6290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998608"/>
        <c:crosses val="autoZero"/>
        <c:auto val="1"/>
        <c:lblAlgn val="ctr"/>
        <c:lblOffset val="100"/>
        <c:noMultiLvlLbl val="0"/>
      </c:catAx>
      <c:valAx>
        <c:axId val="62899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0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agents contractuels par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02-40C2-8B82-2C968A9D9A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02-40C2-8B82-2C968A9D9A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F02-40C2-8B82-2C968A9D9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('I-2.1 Effectif Global'!$AO$6,'I-2.1 Effectif Global'!$AO$10,'I-2.1 Effectif Global'!$AO$13)</c:f>
              <c:strCache>
                <c:ptCount val="3"/>
                <c:pt idx="0">
                  <c:v>Enseignants</c:v>
                </c:pt>
                <c:pt idx="1">
                  <c:v>BIATSS</c:v>
                </c:pt>
                <c:pt idx="2">
                  <c:v>Doctorants 
et 
chercheurs</c:v>
                </c:pt>
              </c:strCache>
            </c:strRef>
          </c:cat>
          <c:val>
            <c:numRef>
              <c:f>('I-2.1 Effectif Global'!$AU$7,'I-2.1 Effectif Global'!$AU$12,'I-2.1 Effectif Global'!$AU$16)</c:f>
              <c:numCache>
                <c:formatCode>General</c:formatCode>
                <c:ptCount val="3"/>
                <c:pt idx="0">
                  <c:v>160</c:v>
                </c:pt>
                <c:pt idx="1">
                  <c:v>308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0-4AD6-B493-6F6502BEDE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79122013012891"/>
          <c:y val="0.20306349504663668"/>
          <c:w val="0.19653846303605477"/>
          <c:h val="0.67418073000977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2.xml"/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169333</xdr:colOff>
      <xdr:row>15</xdr:row>
      <xdr:rowOff>62441</xdr:rowOff>
    </xdr:from>
    <xdr:to>
      <xdr:col>11</xdr:col>
      <xdr:colOff>476250</xdr:colOff>
      <xdr:row>26</xdr:row>
      <xdr:rowOff>21166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AD0B5EE-E987-4CF6-8534-6CF48DFC0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298450</xdr:colOff>
      <xdr:row>12</xdr:row>
      <xdr:rowOff>142873</xdr:rowOff>
    </xdr:from>
    <xdr:to>
      <xdr:col>24</xdr:col>
      <xdr:colOff>804332</xdr:colOff>
      <xdr:row>25</xdr:row>
      <xdr:rowOff>21166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38D3937-E53A-44E1-9289-73CE6245B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136525</xdr:colOff>
      <xdr:row>1</xdr:row>
      <xdr:rowOff>77258</xdr:rowOff>
    </xdr:from>
    <xdr:to>
      <xdr:col>25</xdr:col>
      <xdr:colOff>0</xdr:colOff>
      <xdr:row>12</xdr:row>
      <xdr:rowOff>21167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CD11E9B4-7892-4413-8B8C-6696546BB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52915</xdr:colOff>
      <xdr:row>19</xdr:row>
      <xdr:rowOff>187857</xdr:rowOff>
    </xdr:from>
    <xdr:to>
      <xdr:col>30</xdr:col>
      <xdr:colOff>243417</xdr:colOff>
      <xdr:row>31</xdr:row>
      <xdr:rowOff>10583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D849855-2983-40BC-B0E7-3B2F08554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402167</xdr:colOff>
      <xdr:row>19</xdr:row>
      <xdr:rowOff>175155</xdr:rowOff>
    </xdr:from>
    <xdr:to>
      <xdr:col>35</xdr:col>
      <xdr:colOff>666750</xdr:colOff>
      <xdr:row>31</xdr:row>
      <xdr:rowOff>31750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D8A15B70-2607-40A3-BDC2-24C855ABB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154517</xdr:colOff>
      <xdr:row>4</xdr:row>
      <xdr:rowOff>139170</xdr:rowOff>
    </xdr:from>
    <xdr:to>
      <xdr:col>38</xdr:col>
      <xdr:colOff>158750</xdr:colOff>
      <xdr:row>17</xdr:row>
      <xdr:rowOff>95249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DABCA3E1-809B-4666-9ABF-E4EC7FA39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42334</xdr:colOff>
      <xdr:row>10</xdr:row>
      <xdr:rowOff>136525</xdr:rowOff>
    </xdr:from>
    <xdr:to>
      <xdr:col>51</xdr:col>
      <xdr:colOff>709084</xdr:colOff>
      <xdr:row>20</xdr:row>
      <xdr:rowOff>63500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2F6358-47CC-4F4B-AE4C-25844DAF8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48</xdr:col>
      <xdr:colOff>52916</xdr:colOff>
      <xdr:row>0</xdr:row>
      <xdr:rowOff>21166</xdr:rowOff>
    </xdr:from>
    <xdr:to>
      <xdr:col>51</xdr:col>
      <xdr:colOff>709083</xdr:colOff>
      <xdr:row>10</xdr:row>
      <xdr:rowOff>105833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0F94E63-01D9-4967-8B08-82E64B70E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312206</xdr:colOff>
      <xdr:row>20</xdr:row>
      <xdr:rowOff>179916</xdr:rowOff>
    </xdr:from>
    <xdr:to>
      <xdr:col>51</xdr:col>
      <xdr:colOff>730250</xdr:colOff>
      <xdr:row>31</xdr:row>
      <xdr:rowOff>31749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5A7DB96-1A48-42DC-B53A-BF29F4894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33336</xdr:colOff>
      <xdr:row>19</xdr:row>
      <xdr:rowOff>33337</xdr:rowOff>
    </xdr:from>
    <xdr:to>
      <xdr:col>10</xdr:col>
      <xdr:colOff>85725</xdr:colOff>
      <xdr:row>27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30E17A-85F6-4F4B-8C20-1D5697AD1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490537</xdr:colOff>
      <xdr:row>28</xdr:row>
      <xdr:rowOff>161926</xdr:rowOff>
    </xdr:from>
    <xdr:to>
      <xdr:col>11</xdr:col>
      <xdr:colOff>581025</xdr:colOff>
      <xdr:row>40</xdr:row>
      <xdr:rowOff>180976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2FAB3510-0BA0-4D27-900D-20A46B298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</xdr:colOff>
      <xdr:row>7</xdr:row>
      <xdr:rowOff>66675</xdr:rowOff>
    </xdr:from>
    <xdr:to>
      <xdr:col>11</xdr:col>
      <xdr:colOff>428625</xdr:colOff>
      <xdr:row>17</xdr:row>
      <xdr:rowOff>228600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DD62FA02-2AF1-47CF-A0DF-5B00BCBF7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295275</xdr:colOff>
      <xdr:row>44</xdr:row>
      <xdr:rowOff>19050</xdr:rowOff>
    </xdr:from>
    <xdr:to>
      <xdr:col>11</xdr:col>
      <xdr:colOff>509587</xdr:colOff>
      <xdr:row>56</xdr:row>
      <xdr:rowOff>19050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1BD80BC-E797-4176-A38E-9C2D5ADB5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147637</xdr:colOff>
      <xdr:row>62</xdr:row>
      <xdr:rowOff>9525</xdr:rowOff>
    </xdr:from>
    <xdr:to>
      <xdr:col>5</xdr:col>
      <xdr:colOff>19050</xdr:colOff>
      <xdr:row>72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9F669E2-1837-4C90-A75B-171463851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19050</xdr:colOff>
      <xdr:row>61</xdr:row>
      <xdr:rowOff>76200</xdr:rowOff>
    </xdr:from>
    <xdr:to>
      <xdr:col>11</xdr:col>
      <xdr:colOff>885825</xdr:colOff>
      <xdr:row>71</xdr:row>
      <xdr:rowOff>590550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1E8C048-2364-46A5-8253-CC4F74361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74</xdr:row>
      <xdr:rowOff>114300</xdr:rowOff>
    </xdr:from>
    <xdr:to>
      <xdr:col>16</xdr:col>
      <xdr:colOff>133350</xdr:colOff>
      <xdr:row>81</xdr:row>
      <xdr:rowOff>47625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E3C6BC8-8BE4-4942-A7EE-C322CF8E0352}"/>
            </a:ext>
          </a:extLst>
        </xdr:cNvPr>
        <xdr:cNvSpPr txBox="1"/>
      </xdr:nvSpPr>
      <xdr:spPr>
        <a:xfrm>
          <a:off x="190500" y="15154275"/>
          <a:ext cx="1283970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Les unités de travail exposées à des risques particuliers disposent de leur DUER. L'accent est à porter sur les unités de travail sur le campus Tréfileries, les services administratifs et techniques.</a:t>
          </a:r>
        </a:p>
        <a:p>
          <a:r>
            <a:rPr lang="fr-FR" sz="1050"/>
            <a:t>Les mises à jour sont demandées annuellement.</a:t>
          </a:r>
        </a:p>
        <a:p>
          <a:r>
            <a:rPr lang="fr-FR" sz="1050"/>
            <a:t>Le déploiement du logiciel</a:t>
          </a:r>
          <a:r>
            <a:rPr lang="fr-FR" sz="1050" baseline="0"/>
            <a:t> EvRP s'est poursuivi. 3 sessions de formation ont été organisées.</a:t>
          </a:r>
        </a:p>
        <a:p>
          <a:r>
            <a:rPr lang="fr-FR" sz="1050" baseline="0"/>
            <a:t>La couverture des UT par un DUERP doit être poursuivie ainsi que les remontés des plan d'actions.</a:t>
          </a:r>
        </a:p>
        <a:p>
          <a:r>
            <a:rPr lang="fr-FR" sz="1050" baseline="0"/>
            <a:t>La prise en main du logiciel EvRP et la nomination de nouveaux AP dans les directions importantes devrait faciliter la gestions des actions à engager et leur suivi.</a:t>
          </a:r>
        </a:p>
        <a:p>
          <a:r>
            <a:rPr lang="fr-FR" sz="1050" baseline="0"/>
            <a:t>Prise ne considération des demandes sur la base des plans d'actions finalisés et validés par le Directeur d'Unité</a:t>
          </a:r>
          <a:endParaRPr lang="fr-FR" sz="1050"/>
        </a:p>
        <a:p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192881</xdr:rowOff>
    </xdr:from>
    <xdr:to>
      <xdr:col>3</xdr:col>
      <xdr:colOff>433388</xdr:colOff>
      <xdr:row>14</xdr:row>
      <xdr:rowOff>135731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D3FE2D-861E-45B4-BDC4-009B3312B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273845</xdr:colOff>
      <xdr:row>1</xdr:row>
      <xdr:rowOff>214310</xdr:rowOff>
    </xdr:from>
    <xdr:to>
      <xdr:col>13</xdr:col>
      <xdr:colOff>540545</xdr:colOff>
      <xdr:row>14</xdr:row>
      <xdr:rowOff>157161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041D578-8ECF-4B29-92CD-DB8F1BF0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459581</xdr:colOff>
      <xdr:row>1</xdr:row>
      <xdr:rowOff>190500</xdr:rowOff>
    </xdr:from>
    <xdr:to>
      <xdr:col>7</xdr:col>
      <xdr:colOff>250030</xdr:colOff>
      <xdr:row>14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1342B3A-BDE0-4A82-8F80-727B42559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30956</xdr:colOff>
      <xdr:row>16</xdr:row>
      <xdr:rowOff>73821</xdr:rowOff>
    </xdr:from>
    <xdr:to>
      <xdr:col>13</xdr:col>
      <xdr:colOff>583406</xdr:colOff>
      <xdr:row>28</xdr:row>
      <xdr:rowOff>115095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6C368D8-00CE-4D6E-BE5E-718C7F837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31</xdr:row>
      <xdr:rowOff>76199</xdr:rowOff>
    </xdr:from>
    <xdr:to>
      <xdr:col>13</xdr:col>
      <xdr:colOff>587375</xdr:colOff>
      <xdr:row>44</xdr:row>
      <xdr:rowOff>27780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EDBFA35F-9367-4F63-B635-B40B446F0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52387</xdr:colOff>
      <xdr:row>44</xdr:row>
      <xdr:rowOff>188125</xdr:rowOff>
    </xdr:from>
    <xdr:to>
      <xdr:col>13</xdr:col>
      <xdr:colOff>642937</xdr:colOff>
      <xdr:row>57</xdr:row>
      <xdr:rowOff>166687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EC19D1F-CAB3-49D4-8798-88677B5B1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35718</xdr:colOff>
      <xdr:row>58</xdr:row>
      <xdr:rowOff>197645</xdr:rowOff>
    </xdr:from>
    <xdr:to>
      <xdr:col>13</xdr:col>
      <xdr:colOff>600867</xdr:colOff>
      <xdr:row>71</xdr:row>
      <xdr:rowOff>35719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9BA738F-3692-47CE-A19D-82E7CB164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66676</xdr:colOff>
      <xdr:row>1</xdr:row>
      <xdr:rowOff>214313</xdr:rowOff>
    </xdr:from>
    <xdr:to>
      <xdr:col>17</xdr:col>
      <xdr:colOff>85725</xdr:colOff>
      <xdr:row>14</xdr:row>
      <xdr:rowOff>154781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B4EA5D74-8912-4CDD-ABED-6FA4B8598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333374</xdr:colOff>
      <xdr:row>1</xdr:row>
      <xdr:rowOff>242885</xdr:rowOff>
    </xdr:from>
    <xdr:to>
      <xdr:col>27</xdr:col>
      <xdr:colOff>538163</xdr:colOff>
      <xdr:row>14</xdr:row>
      <xdr:rowOff>183354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5F5A3516-AFCB-4226-9B87-36B05DD03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126207</xdr:colOff>
      <xdr:row>1</xdr:row>
      <xdr:rowOff>223836</xdr:rowOff>
    </xdr:from>
    <xdr:to>
      <xdr:col>21</xdr:col>
      <xdr:colOff>295277</xdr:colOff>
      <xdr:row>14</xdr:row>
      <xdr:rowOff>130968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ACEBF50F-3BF6-456A-9758-DE6F61AA2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42598</xdr:colOff>
      <xdr:row>16</xdr:row>
      <xdr:rowOff>48422</xdr:rowOff>
    </xdr:from>
    <xdr:to>
      <xdr:col>27</xdr:col>
      <xdr:colOff>575998</xdr:colOff>
      <xdr:row>28</xdr:row>
      <xdr:rowOff>135469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92495B15-C38C-450B-9AFE-0FE47F06B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92868</xdr:colOff>
      <xdr:row>31</xdr:row>
      <xdr:rowOff>30956</xdr:rowOff>
    </xdr:from>
    <xdr:to>
      <xdr:col>27</xdr:col>
      <xdr:colOff>635793</xdr:colOff>
      <xdr:row>43</xdr:row>
      <xdr:rowOff>133350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1A5FEA4D-5096-46BD-9AD8-D82AC7AA8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91281</xdr:colOff>
      <xdr:row>44</xdr:row>
      <xdr:rowOff>185742</xdr:rowOff>
    </xdr:from>
    <xdr:to>
      <xdr:col>27</xdr:col>
      <xdr:colOff>466725</xdr:colOff>
      <xdr:row>57</xdr:row>
      <xdr:rowOff>130968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99B0C3E7-94A0-4E82-9E30-F076E61C9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138112</xdr:colOff>
      <xdr:row>58</xdr:row>
      <xdr:rowOff>183355</xdr:rowOff>
    </xdr:from>
    <xdr:to>
      <xdr:col>27</xdr:col>
      <xdr:colOff>516731</xdr:colOff>
      <xdr:row>71</xdr:row>
      <xdr:rowOff>35718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6D5C408D-2607-41A2-B62C-97A4F4ED1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14</xdr:row>
      <xdr:rowOff>95250</xdr:rowOff>
    </xdr:from>
    <xdr:to>
      <xdr:col>11</xdr:col>
      <xdr:colOff>349250</xdr:colOff>
      <xdr:row>29</xdr:row>
      <xdr:rowOff>168274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8AA735-F458-4A98-A253-BD190F8B7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64</xdr:row>
      <xdr:rowOff>57150</xdr:rowOff>
    </xdr:from>
    <xdr:to>
      <xdr:col>12</xdr:col>
      <xdr:colOff>685800</xdr:colOff>
      <xdr:row>84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B707A10-49FB-4F20-A81F-AAEB1F8FC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117</xdr:row>
      <xdr:rowOff>142875</xdr:rowOff>
    </xdr:from>
    <xdr:to>
      <xdr:col>12</xdr:col>
      <xdr:colOff>333374</xdr:colOff>
      <xdr:row>136</xdr:row>
      <xdr:rowOff>66674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4D2A44B-CDF8-426D-80C0-D27C6B5F0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</xdr:colOff>
      <xdr:row>170</xdr:row>
      <xdr:rowOff>95249</xdr:rowOff>
    </xdr:from>
    <xdr:to>
      <xdr:col>12</xdr:col>
      <xdr:colOff>492125</xdr:colOff>
      <xdr:row>188</xdr:row>
      <xdr:rowOff>158750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290A4E4-F107-4A34-86EF-E849EDD1E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16</xdr:row>
      <xdr:rowOff>28574</xdr:rowOff>
    </xdr:from>
    <xdr:to>
      <xdr:col>10</xdr:col>
      <xdr:colOff>771525</xdr:colOff>
      <xdr:row>30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A20A45A-B686-4CC9-88F2-B3B24388B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274637</xdr:colOff>
      <xdr:row>26</xdr:row>
      <xdr:rowOff>65087</xdr:rowOff>
    </xdr:from>
    <xdr:to>
      <xdr:col>15</xdr:col>
      <xdr:colOff>1920875</xdr:colOff>
      <xdr:row>31</xdr:row>
      <xdr:rowOff>1485900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1AC542-CDFF-42F4-9805-F91E5838D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631825</xdr:colOff>
      <xdr:row>59</xdr:row>
      <xdr:rowOff>3175</xdr:rowOff>
    </xdr:from>
    <xdr:to>
      <xdr:col>15</xdr:col>
      <xdr:colOff>1184274</xdr:colOff>
      <xdr:row>63</xdr:row>
      <xdr:rowOff>1473200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CED85C5-A947-43A8-8EFA-ED8F370F6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201612</xdr:colOff>
      <xdr:row>3</xdr:row>
      <xdr:rowOff>141286</xdr:rowOff>
    </xdr:from>
    <xdr:to>
      <xdr:col>23</xdr:col>
      <xdr:colOff>428625</xdr:colOff>
      <xdr:row>21</xdr:row>
      <xdr:rowOff>6350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2B34A64-6EAD-4AB0-8DC0-61793B01D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637115</xdr:colOff>
      <xdr:row>11</xdr:row>
      <xdr:rowOff>59266</xdr:rowOff>
    </xdr:from>
    <xdr:to>
      <xdr:col>10</xdr:col>
      <xdr:colOff>342899</xdr:colOff>
      <xdr:row>25</xdr:row>
      <xdr:rowOff>135466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341E674-4DAC-4E0F-90A9-655E859A93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11906</xdr:colOff>
      <xdr:row>29</xdr:row>
      <xdr:rowOff>53445</xdr:rowOff>
    </xdr:from>
    <xdr:to>
      <xdr:col>10</xdr:col>
      <xdr:colOff>530490</xdr:colOff>
      <xdr:row>40</xdr:row>
      <xdr:rowOff>79375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F9726F6-B143-4350-9E55-A46CA6D4D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83609</xdr:colOff>
      <xdr:row>28</xdr:row>
      <xdr:rowOff>128852</xdr:rowOff>
    </xdr:from>
    <xdr:to>
      <xdr:col>5</xdr:col>
      <xdr:colOff>96308</xdr:colOff>
      <xdr:row>40</xdr:row>
      <xdr:rowOff>38100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E2C48906-569D-4656-A175-A6883E3EA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83344</xdr:colOff>
      <xdr:row>3</xdr:row>
      <xdr:rowOff>95249</xdr:rowOff>
    </xdr:from>
    <xdr:to>
      <xdr:col>16</xdr:col>
      <xdr:colOff>173830</xdr:colOff>
      <xdr:row>18</xdr:row>
      <xdr:rowOff>95249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6FFF2D8-B37A-4F25-861A-1C64CFCE7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130969</xdr:colOff>
      <xdr:row>11</xdr:row>
      <xdr:rowOff>60323</xdr:rowOff>
    </xdr:from>
    <xdr:to>
      <xdr:col>5</xdr:col>
      <xdr:colOff>152400</xdr:colOff>
      <xdr:row>26</xdr:row>
      <xdr:rowOff>129381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D92063E7-67C1-4D1F-8913-3049C7F14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304005</xdr:colOff>
      <xdr:row>3</xdr:row>
      <xdr:rowOff>97631</xdr:rowOff>
    </xdr:from>
    <xdr:to>
      <xdr:col>29</xdr:col>
      <xdr:colOff>599280</xdr:colOff>
      <xdr:row>17</xdr:row>
      <xdr:rowOff>92074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8216C2-C300-43BC-BA3B-57B2B001A4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577850</xdr:colOff>
      <xdr:row>3</xdr:row>
      <xdr:rowOff>136525</xdr:rowOff>
    </xdr:from>
    <xdr:to>
      <xdr:col>36</xdr:col>
      <xdr:colOff>234950</xdr:colOff>
      <xdr:row>18</xdr:row>
      <xdr:rowOff>3175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D110B56-15C7-473A-BB7E-53D9C807F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411004</xdr:colOff>
      <xdr:row>3</xdr:row>
      <xdr:rowOff>9525</xdr:rowOff>
    </xdr:from>
    <xdr:to>
      <xdr:col>44</xdr:col>
      <xdr:colOff>123825</xdr:colOff>
      <xdr:row>18</xdr:row>
      <xdr:rowOff>9525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B6FF4FD0-A221-4FFB-81C5-4121036CA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584993</xdr:colOff>
      <xdr:row>3</xdr:row>
      <xdr:rowOff>81755</xdr:rowOff>
    </xdr:from>
    <xdr:to>
      <xdr:col>22</xdr:col>
      <xdr:colOff>8731</xdr:colOff>
      <xdr:row>18</xdr:row>
      <xdr:rowOff>76199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CC7832C8-F0F6-4115-A686-434FEF559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</xdr:rowOff>
    </xdr:from>
    <xdr:to>
      <xdr:col>4</xdr:col>
      <xdr:colOff>628650</xdr:colOff>
      <xdr:row>31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C7C36D6-EB86-4F7E-A6F9-71930CDE6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809624</xdr:colOff>
      <xdr:row>20</xdr:row>
      <xdr:rowOff>9526</xdr:rowOff>
    </xdr:from>
    <xdr:to>
      <xdr:col>10</xdr:col>
      <xdr:colOff>419099</xdr:colOff>
      <xdr:row>31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D1878BC-B016-4B09-B19F-9CCB22867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119062</xdr:rowOff>
    </xdr:from>
    <xdr:to>
      <xdr:col>5</xdr:col>
      <xdr:colOff>514350</xdr:colOff>
      <xdr:row>46</xdr:row>
      <xdr:rowOff>28575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276DF5A-A02A-46B4-B7CA-9C3524221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80962</xdr:rowOff>
    </xdr:from>
    <xdr:to>
      <xdr:col>4</xdr:col>
      <xdr:colOff>561975</xdr:colOff>
      <xdr:row>61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4573B68-B2E0-4A50-9755-F3455C311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752475</xdr:colOff>
      <xdr:row>49</xdr:row>
      <xdr:rowOff>95250</xdr:rowOff>
    </xdr:from>
    <xdr:to>
      <xdr:col>10</xdr:col>
      <xdr:colOff>762000</xdr:colOff>
      <xdr:row>62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21D8BA1-3112-46C1-8B67-BCC71D791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28575</xdr:colOff>
      <xdr:row>35</xdr:row>
      <xdr:rowOff>85731</xdr:rowOff>
    </xdr:from>
    <xdr:to>
      <xdr:col>17</xdr:col>
      <xdr:colOff>342900</xdr:colOff>
      <xdr:row>49</xdr:row>
      <xdr:rowOff>133350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C2878383-0E1E-4FBD-B1C9-4490BA12C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700087</xdr:colOff>
      <xdr:row>36</xdr:row>
      <xdr:rowOff>9525</xdr:rowOff>
    </xdr:from>
    <xdr:to>
      <xdr:col>22</xdr:col>
      <xdr:colOff>695325</xdr:colOff>
      <xdr:row>50</xdr:row>
      <xdr:rowOff>19050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D220365E-D17A-4EDB-B9C6-04AF568AB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33338</xdr:colOff>
      <xdr:row>13</xdr:row>
      <xdr:rowOff>104775</xdr:rowOff>
    </xdr:from>
    <xdr:to>
      <xdr:col>3</xdr:col>
      <xdr:colOff>590550</xdr:colOff>
      <xdr:row>27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B89DA89-77C8-44D8-A9A3-2F75607E9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14</xdr:row>
      <xdr:rowOff>9525</xdr:rowOff>
    </xdr:from>
    <xdr:to>
      <xdr:col>6</xdr:col>
      <xdr:colOff>819150</xdr:colOff>
      <xdr:row>28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711413D-A1D3-41BE-9DB7-B55C32F88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157161</xdr:colOff>
      <xdr:row>32</xdr:row>
      <xdr:rowOff>66674</xdr:rowOff>
    </xdr:from>
    <xdr:to>
      <xdr:col>6</xdr:col>
      <xdr:colOff>933450</xdr:colOff>
      <xdr:row>50</xdr:row>
      <xdr:rowOff>95249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3FC6B1F-3B22-4AAE-8A96-4EE358D11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6</xdr:row>
      <xdr:rowOff>117474</xdr:rowOff>
    </xdr:from>
    <xdr:to>
      <xdr:col>5</xdr:col>
      <xdr:colOff>396875</xdr:colOff>
      <xdr:row>21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E05A50B-8DA3-4321-B00C-52CDC5625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82551</xdr:colOff>
      <xdr:row>4</xdr:row>
      <xdr:rowOff>98425</xdr:rowOff>
    </xdr:from>
    <xdr:to>
      <xdr:col>10</xdr:col>
      <xdr:colOff>654051</xdr:colOff>
      <xdr:row>19</xdr:row>
      <xdr:rowOff>69850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F78D5A3-EBED-4B73-B0AE-DFD39CDC2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623887</xdr:colOff>
      <xdr:row>29</xdr:row>
      <xdr:rowOff>152399</xdr:rowOff>
    </xdr:from>
    <xdr:to>
      <xdr:col>5</xdr:col>
      <xdr:colOff>723900</xdr:colOff>
      <xdr:row>44</xdr:row>
      <xdr:rowOff>133350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E2ABCE8-2755-4756-B05E-CEC624DCF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349251</xdr:colOff>
      <xdr:row>28</xdr:row>
      <xdr:rowOff>107950</xdr:rowOff>
    </xdr:from>
    <xdr:to>
      <xdr:col>11</xdr:col>
      <xdr:colOff>73025</xdr:colOff>
      <xdr:row>42</xdr:row>
      <xdr:rowOff>117475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2651AED-53DE-43CE-A651-E4B530787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704850</xdr:colOff>
      <xdr:row>52</xdr:row>
      <xdr:rowOff>104775</xdr:rowOff>
    </xdr:from>
    <xdr:to>
      <xdr:col>11</xdr:col>
      <xdr:colOff>638176</xdr:colOff>
      <xdr:row>67</xdr:row>
      <xdr:rowOff>76200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A4CAA32B-0AE4-49F2-81FF-72D314673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652462</xdr:colOff>
      <xdr:row>53</xdr:row>
      <xdr:rowOff>85725</xdr:rowOff>
    </xdr:from>
    <xdr:to>
      <xdr:col>6</xdr:col>
      <xdr:colOff>228600</xdr:colOff>
      <xdr:row>67</xdr:row>
      <xdr:rowOff>152400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3B2B81B0-FF32-446C-ACFB-BE26D308F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523875</xdr:colOff>
      <xdr:row>77</xdr:row>
      <xdr:rowOff>26987</xdr:rowOff>
    </xdr:from>
    <xdr:to>
      <xdr:col>6</xdr:col>
      <xdr:colOff>0</xdr:colOff>
      <xdr:row>91</xdr:row>
      <xdr:rowOff>122237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AE995F29-F405-4661-8390-709EEB919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590550</xdr:colOff>
      <xdr:row>101</xdr:row>
      <xdr:rowOff>26987</xdr:rowOff>
    </xdr:from>
    <xdr:to>
      <xdr:col>6</xdr:col>
      <xdr:colOff>76200</xdr:colOff>
      <xdr:row>115</xdr:row>
      <xdr:rowOff>71437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46772EAA-3D50-4C06-BB28-5D6DFD20D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460375</xdr:colOff>
      <xdr:row>124</xdr:row>
      <xdr:rowOff>176212</xdr:rowOff>
    </xdr:from>
    <xdr:to>
      <xdr:col>5</xdr:col>
      <xdr:colOff>812800</xdr:colOff>
      <xdr:row>139</xdr:row>
      <xdr:rowOff>61912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E145E002-2584-43FC-9340-0E9357021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501650</xdr:colOff>
      <xdr:row>75</xdr:row>
      <xdr:rowOff>76200</xdr:rowOff>
    </xdr:from>
    <xdr:to>
      <xdr:col>11</xdr:col>
      <xdr:colOff>434976</xdr:colOff>
      <xdr:row>90</xdr:row>
      <xdr:rowOff>47625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A2C2F861-62EB-4A01-BA6F-C5B79A2F4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584200</xdr:colOff>
      <xdr:row>100</xdr:row>
      <xdr:rowOff>123825</xdr:rowOff>
    </xdr:from>
    <xdr:to>
      <xdr:col>11</xdr:col>
      <xdr:colOff>517526</xdr:colOff>
      <xdr:row>115</xdr:row>
      <xdr:rowOff>95250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D2E1D148-8418-4091-93C6-BE8A0A321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574675</xdr:colOff>
      <xdr:row>124</xdr:row>
      <xdr:rowOff>127001</xdr:rowOff>
    </xdr:from>
    <xdr:to>
      <xdr:col>11</xdr:col>
      <xdr:colOff>422275</xdr:colOff>
      <xdr:row>138</xdr:row>
      <xdr:rowOff>184151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BD5DB2A2-1140-4656-A561-0E66CF1CA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71437</xdr:rowOff>
    </xdr:from>
    <xdr:to>
      <xdr:col>5</xdr:col>
      <xdr:colOff>0</xdr:colOff>
      <xdr:row>29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E78427A-64FB-456A-AD45-F76D69CBA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16</xdr:row>
      <xdr:rowOff>42862</xdr:rowOff>
    </xdr:from>
    <xdr:to>
      <xdr:col>11</xdr:col>
      <xdr:colOff>68581</xdr:colOff>
      <xdr:row>28</xdr:row>
      <xdr:rowOff>142876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B763605-212B-4EAD-9D1B-A5EA9D2D9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47</xdr:row>
      <xdr:rowOff>76200</xdr:rowOff>
    </xdr:from>
    <xdr:to>
      <xdr:col>10</xdr:col>
      <xdr:colOff>742949</xdr:colOff>
      <xdr:row>59</xdr:row>
      <xdr:rowOff>123825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25EB3022-AD19-41F1-BE8F-9B09E61DC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57150</xdr:rowOff>
    </xdr:from>
    <xdr:to>
      <xdr:col>4</xdr:col>
      <xdr:colOff>847725</xdr:colOff>
      <xdr:row>59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B781B92-BD8C-4031-80C6-585C137BD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609600</xdr:colOff>
      <xdr:row>37</xdr:row>
      <xdr:rowOff>57150</xdr:rowOff>
    </xdr:from>
    <xdr:to>
      <xdr:col>10</xdr:col>
      <xdr:colOff>762000</xdr:colOff>
      <xdr:row>45</xdr:row>
      <xdr:rowOff>180975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84F5C34B-482A-46FE-8015-4F5A2AE87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38100</xdr:rowOff>
    </xdr:from>
    <xdr:to>
      <xdr:col>4</xdr:col>
      <xdr:colOff>333375</xdr:colOff>
      <xdr:row>31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5A93A8C-5986-43DC-8343-23DACFE86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78</xdr:row>
      <xdr:rowOff>76200</xdr:rowOff>
    </xdr:from>
    <xdr:to>
      <xdr:col>4</xdr:col>
      <xdr:colOff>152400</xdr:colOff>
      <xdr:row>88</xdr:row>
      <xdr:rowOff>95250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E88208C-7B8F-4590-9D93-02239B77F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78</xdr:row>
      <xdr:rowOff>66675</xdr:rowOff>
    </xdr:from>
    <xdr:to>
      <xdr:col>9</xdr:col>
      <xdr:colOff>793750</xdr:colOff>
      <xdr:row>88</xdr:row>
      <xdr:rowOff>63500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4AC3530A-0B40-45CE-820E-006D62AF5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90</xdr:row>
      <xdr:rowOff>47631</xdr:rowOff>
    </xdr:from>
    <xdr:to>
      <xdr:col>4</xdr:col>
      <xdr:colOff>190500</xdr:colOff>
      <xdr:row>99</xdr:row>
      <xdr:rowOff>171451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ACAF957-4E30-4AAC-847D-91F8FD726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90</xdr:row>
      <xdr:rowOff>38100</xdr:rowOff>
    </xdr:from>
    <xdr:to>
      <xdr:col>9</xdr:col>
      <xdr:colOff>781050</xdr:colOff>
      <xdr:row>99</xdr:row>
      <xdr:rowOff>180975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A62DA4FC-E6A6-498A-B4A8-E27CC7B68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357187</xdr:colOff>
      <xdr:row>47</xdr:row>
      <xdr:rowOff>185737</xdr:rowOff>
    </xdr:from>
    <xdr:to>
      <xdr:col>4</xdr:col>
      <xdr:colOff>195262</xdr:colOff>
      <xdr:row>62</xdr:row>
      <xdr:rowOff>61912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01404AC-9976-4A07-B0C3-1F1BD4B8D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20</xdr:row>
      <xdr:rowOff>3175</xdr:rowOff>
    </xdr:from>
    <xdr:to>
      <xdr:col>14</xdr:col>
      <xdr:colOff>650875</xdr:colOff>
      <xdr:row>30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5627E60-0329-446C-9E06-9AF5EE9C4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776286</xdr:colOff>
      <xdr:row>34</xdr:row>
      <xdr:rowOff>114300</xdr:rowOff>
    </xdr:from>
    <xdr:to>
      <xdr:col>14</xdr:col>
      <xdr:colOff>450849</xdr:colOff>
      <xdr:row>44</xdr:row>
      <xdr:rowOff>139700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00CA411-4B04-4B63-89DA-F6AD27AB1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80962</xdr:rowOff>
    </xdr:from>
    <xdr:to>
      <xdr:col>8</xdr:col>
      <xdr:colOff>571500</xdr:colOff>
      <xdr:row>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8D56C82-D330-4F5F-80A9-98B73B55E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2BBF-CB7E-4B8C-9393-875FC9D85A13}">
  <dimension ref="A1:G32"/>
  <sheetViews>
    <sheetView showGridLines="0" view="pageLayout" zoomScaleNormal="100" workbookViewId="0">
      <selection activeCell="C39" sqref="C39"/>
    </sheetView>
  </sheetViews>
  <sheetFormatPr baseColWidth="10" defaultRowHeight="15"/>
  <cols>
    <col min="2" max="2" width="10.28515625" customWidth="1"/>
    <col min="3" max="3" width="5.140625" customWidth="1"/>
  </cols>
  <sheetData>
    <row r="1" spans="1:7">
      <c r="A1" s="403"/>
      <c r="B1" s="403"/>
      <c r="C1" s="403"/>
      <c r="D1" s="403"/>
      <c r="E1" s="403"/>
      <c r="F1" s="403"/>
      <c r="G1" s="403"/>
    </row>
    <row r="2" spans="1:7">
      <c r="A2" s="403" t="s">
        <v>595</v>
      </c>
      <c r="B2" s="403" t="s">
        <v>596</v>
      </c>
      <c r="C2" s="403"/>
      <c r="D2" s="403"/>
      <c r="E2" s="403"/>
      <c r="F2" s="403"/>
      <c r="G2" s="403"/>
    </row>
    <row r="3" spans="1:7">
      <c r="A3" s="403"/>
      <c r="B3" s="403"/>
      <c r="C3" s="410" t="s">
        <v>597</v>
      </c>
      <c r="D3" s="403"/>
      <c r="E3" s="403"/>
      <c r="F3" s="403"/>
      <c r="G3" s="403"/>
    </row>
    <row r="4" spans="1:7">
      <c r="A4" s="403"/>
      <c r="B4" s="403"/>
      <c r="C4" s="403" t="s">
        <v>598</v>
      </c>
      <c r="D4" s="403"/>
      <c r="E4" s="403"/>
      <c r="F4" s="403"/>
      <c r="G4" s="403"/>
    </row>
    <row r="5" spans="1:7">
      <c r="A5" s="403"/>
      <c r="B5" s="403"/>
      <c r="C5" s="403"/>
      <c r="D5" s="410" t="s">
        <v>599</v>
      </c>
      <c r="E5" s="403"/>
      <c r="F5" s="403"/>
      <c r="G5" s="403"/>
    </row>
    <row r="6" spans="1:7">
      <c r="A6" s="403"/>
      <c r="B6" s="403"/>
      <c r="C6" s="403"/>
      <c r="D6" s="410" t="s">
        <v>600</v>
      </c>
      <c r="E6" s="403"/>
      <c r="F6" s="403"/>
      <c r="G6" s="403"/>
    </row>
    <row r="7" spans="1:7">
      <c r="A7" s="403"/>
      <c r="B7" s="403"/>
      <c r="C7" s="403"/>
      <c r="D7" s="410" t="s">
        <v>601</v>
      </c>
      <c r="E7" s="403"/>
      <c r="F7" s="403"/>
      <c r="G7" s="403"/>
    </row>
    <row r="8" spans="1:7">
      <c r="A8" s="403"/>
      <c r="B8" s="403"/>
      <c r="C8" s="403"/>
      <c r="D8" s="410" t="s">
        <v>602</v>
      </c>
      <c r="E8" s="403"/>
      <c r="F8" s="403"/>
      <c r="G8" s="403"/>
    </row>
    <row r="9" spans="1:7">
      <c r="A9" s="403"/>
      <c r="B9" s="403"/>
      <c r="C9" s="410" t="s">
        <v>603</v>
      </c>
      <c r="D9" s="403"/>
      <c r="E9" s="403"/>
      <c r="F9" s="403"/>
      <c r="G9" s="403"/>
    </row>
    <row r="10" spans="1:7">
      <c r="A10" s="403"/>
      <c r="B10" s="403"/>
      <c r="C10" s="410" t="s">
        <v>604</v>
      </c>
      <c r="D10" s="403"/>
      <c r="E10" s="403"/>
      <c r="F10" s="403"/>
      <c r="G10" s="403"/>
    </row>
    <row r="11" spans="1:7">
      <c r="A11" s="403"/>
      <c r="B11" s="403"/>
      <c r="C11" s="410" t="s">
        <v>605</v>
      </c>
      <c r="D11" s="403"/>
      <c r="E11" s="403"/>
      <c r="F11" s="403"/>
      <c r="G11" s="403"/>
    </row>
    <row r="12" spans="1:7">
      <c r="A12" s="403"/>
      <c r="B12" s="403"/>
      <c r="C12" s="410" t="s">
        <v>606</v>
      </c>
      <c r="D12" s="403"/>
      <c r="E12" s="403"/>
      <c r="F12" s="403"/>
      <c r="G12" s="403"/>
    </row>
    <row r="13" spans="1:7">
      <c r="A13" s="403"/>
      <c r="B13" s="403" t="s">
        <v>607</v>
      </c>
      <c r="C13" s="403"/>
      <c r="D13" s="403"/>
      <c r="E13" s="403"/>
      <c r="F13" s="403"/>
      <c r="G13" s="403"/>
    </row>
    <row r="14" spans="1:7">
      <c r="A14" s="403"/>
      <c r="B14" s="403"/>
      <c r="C14" s="410" t="s">
        <v>608</v>
      </c>
      <c r="D14" s="403"/>
      <c r="E14" s="403"/>
      <c r="F14" s="403"/>
      <c r="G14" s="403"/>
    </row>
    <row r="15" spans="1:7">
      <c r="A15" s="403"/>
      <c r="B15" s="403"/>
      <c r="C15" s="403"/>
      <c r="D15" s="410" t="s">
        <v>609</v>
      </c>
      <c r="E15" s="403"/>
      <c r="F15" s="403"/>
      <c r="G15" s="403"/>
    </row>
    <row r="16" spans="1:7">
      <c r="A16" s="403"/>
      <c r="B16" s="403"/>
      <c r="C16" s="410" t="s">
        <v>610</v>
      </c>
      <c r="D16" s="403"/>
      <c r="E16" s="403"/>
      <c r="F16" s="403"/>
      <c r="G16" s="403"/>
    </row>
    <row r="17" spans="1:7">
      <c r="A17" s="403"/>
      <c r="B17" s="403"/>
      <c r="C17" s="410" t="s">
        <v>611</v>
      </c>
      <c r="D17" s="403"/>
      <c r="E17" s="403"/>
      <c r="F17" s="403"/>
      <c r="G17" s="403"/>
    </row>
    <row r="18" spans="1:7">
      <c r="A18" s="403"/>
      <c r="B18" s="403" t="s">
        <v>612</v>
      </c>
      <c r="C18" s="403"/>
      <c r="D18" s="403"/>
      <c r="E18" s="403"/>
      <c r="F18" s="403"/>
      <c r="G18" s="403"/>
    </row>
    <row r="19" spans="1:7">
      <c r="A19" s="403"/>
      <c r="B19" s="403"/>
      <c r="C19" s="410" t="s">
        <v>613</v>
      </c>
      <c r="D19" s="403"/>
      <c r="E19" s="403"/>
      <c r="F19" s="403"/>
      <c r="G19" s="403"/>
    </row>
    <row r="20" spans="1:7">
      <c r="A20" s="403"/>
      <c r="B20" s="403"/>
      <c r="C20" s="410" t="s">
        <v>614</v>
      </c>
      <c r="D20" s="403"/>
      <c r="E20" s="403"/>
      <c r="F20" s="403"/>
      <c r="G20" s="403"/>
    </row>
    <row r="21" spans="1:7">
      <c r="A21" s="403"/>
      <c r="B21" s="403"/>
      <c r="C21" s="410" t="s">
        <v>615</v>
      </c>
      <c r="D21" s="403"/>
      <c r="E21" s="403"/>
      <c r="F21" s="403"/>
      <c r="G21" s="403"/>
    </row>
    <row r="22" spans="1:7">
      <c r="A22" s="403"/>
      <c r="B22" s="403" t="s">
        <v>616</v>
      </c>
      <c r="C22" s="403"/>
      <c r="D22" s="403"/>
      <c r="E22" s="403"/>
      <c r="F22" s="403"/>
      <c r="G22" s="403"/>
    </row>
    <row r="23" spans="1:7">
      <c r="A23" s="403"/>
      <c r="B23" s="403"/>
      <c r="C23" s="410" t="s">
        <v>617</v>
      </c>
      <c r="D23" s="403"/>
      <c r="E23" s="403"/>
      <c r="F23" s="403"/>
      <c r="G23" s="403"/>
    </row>
    <row r="24" spans="1:7">
      <c r="A24" s="403"/>
      <c r="B24" s="403"/>
      <c r="C24" s="410" t="s">
        <v>618</v>
      </c>
      <c r="D24" s="403"/>
      <c r="E24" s="403"/>
      <c r="F24" s="403"/>
      <c r="G24" s="403"/>
    </row>
    <row r="25" spans="1:7">
      <c r="A25" s="403"/>
      <c r="B25" s="403"/>
      <c r="C25" s="410" t="s">
        <v>619</v>
      </c>
      <c r="D25" s="403"/>
      <c r="E25" s="403"/>
      <c r="F25" s="403"/>
      <c r="G25" s="403"/>
    </row>
    <row r="26" spans="1:7">
      <c r="A26" s="403"/>
      <c r="B26" s="403" t="s">
        <v>620</v>
      </c>
      <c r="C26" s="403"/>
      <c r="D26" s="403"/>
      <c r="E26" s="403"/>
      <c r="F26" s="403"/>
      <c r="G26" s="403"/>
    </row>
    <row r="27" spans="1:7">
      <c r="A27" s="403"/>
      <c r="B27" s="403"/>
      <c r="C27" s="410" t="s">
        <v>621</v>
      </c>
      <c r="D27" s="403"/>
      <c r="E27" s="403"/>
      <c r="F27" s="403"/>
      <c r="G27" s="403"/>
    </row>
    <row r="28" spans="1:7">
      <c r="A28" s="403"/>
      <c r="B28" s="403"/>
      <c r="C28" s="410" t="s">
        <v>622</v>
      </c>
      <c r="D28" s="403"/>
      <c r="E28" s="403"/>
      <c r="F28" s="403"/>
      <c r="G28" s="403"/>
    </row>
    <row r="29" spans="1:7">
      <c r="A29" s="403"/>
      <c r="B29" s="403"/>
      <c r="C29" s="410" t="s">
        <v>623</v>
      </c>
      <c r="D29" s="403"/>
      <c r="E29" s="403"/>
      <c r="F29" s="403"/>
      <c r="G29" s="403"/>
    </row>
    <row r="30" spans="1:7">
      <c r="A30" s="403"/>
      <c r="B30" s="403"/>
      <c r="C30" s="410" t="s">
        <v>624</v>
      </c>
      <c r="D30" s="403"/>
      <c r="E30" s="403"/>
      <c r="F30" s="403"/>
      <c r="G30" s="403"/>
    </row>
    <row r="31" spans="1:7">
      <c r="A31" s="403"/>
      <c r="B31" s="403"/>
      <c r="C31" s="410" t="s">
        <v>625</v>
      </c>
      <c r="D31" s="403"/>
      <c r="E31" s="403"/>
      <c r="F31" s="403"/>
      <c r="G31" s="403"/>
    </row>
    <row r="32" spans="1:7">
      <c r="A32" s="403"/>
      <c r="B32" s="403" t="s">
        <v>626</v>
      </c>
      <c r="C32" s="225"/>
      <c r="D32" s="403"/>
      <c r="E32" s="403"/>
      <c r="F32" s="403"/>
      <c r="G32" s="403"/>
    </row>
  </sheetData>
  <hyperlinks>
    <hyperlink ref="C3" location="'I-1 Plafond d''emploi'!A1" display="1. Le plafond d'emploi" xr:uid="{6B86C03D-8D83-4691-80C3-BFB79B343DEE}"/>
    <hyperlink ref="D5" location="'I-2.1 Effectif Global'!A1" display="2.1 Effectif global au 31/12/23" xr:uid="{9668094D-01C6-4F37-9866-B53874EFF4A4}"/>
    <hyperlink ref="D6" location="'I-2.2 Effectif BIATSS'!A1" display="2.2 Effectif BIATSS au 31/12/23" xr:uid="{85F18CB2-35B5-456D-A4F1-F4D7B822B769}"/>
    <hyperlink ref="D7" location="'I-2.3 Effectif Ens'!A1" display="2.3 Effectif Enseignants au 31/12/23" xr:uid="{1784D0C8-7E6A-4BCA-AF9D-827629415271}"/>
    <hyperlink ref="D8" location="'I-2.4 Ct étu - stages'!A1" display="2.4 Contratuels étudiants et stages" xr:uid="{AAC16EA3-E6FE-4E9F-BA2B-0AB3AAD31E0C}"/>
    <hyperlink ref="C9" location="'I-3 Pyramides âges'!A1" display="3. Pyramides des âges" xr:uid="{315ADC26-9D4F-450D-AEC2-7FF96852131C}"/>
    <hyperlink ref="C10" location="'I-4 Entrées'!A1" display="4. Entrées" xr:uid="{52D3A1DE-A59C-4516-A777-8D90D9340AEE}"/>
    <hyperlink ref="C11" location="'I-5 Sorties'!A1" display="5. Sorties" xr:uid="{17C6C6D5-5763-4941-9ADB-618FE0C7384B}"/>
    <hyperlink ref="C12" location="'I-6 Parité'!A1" display="6. Parité" xr:uid="{C931BD39-4858-41AF-BC45-8A949D5EC046}"/>
    <hyperlink ref="C14" location="'II-1 Formations'!A1" display="1. Formation" xr:uid="{E97A167A-F327-4850-BB3A-A0946672CFD8}"/>
    <hyperlink ref="D15" location="'II-1.1 Formations détails'!A1" display="1.1 Formation (détails)" xr:uid="{DA2ECB61-23A2-47DC-96B3-0941B7009984}"/>
    <hyperlink ref="C16" location="'II-2 Avancement BIATSS'!A1" display="2. Avancement BIATSS" xr:uid="{023F144F-0281-4B64-A63A-9BF9A7443089}"/>
    <hyperlink ref="C17" location="'II-3 Avancement Enseignant'!A1" display="3. Avancement Enseignants" xr:uid="{484E7823-8F0C-4A36-95DF-C25324B9123C}"/>
    <hyperlink ref="C19" location="'III-1 Plafond d''emploi'!A1" display="1. Plafond d'emploi" xr:uid="{341CBB8D-FF4F-4874-B542-B329B4A9F1A6}"/>
    <hyperlink ref="C20" location="'III-2 Masse salariale'!A1" display="2. Masse salariale" xr:uid="{47790615-46BF-4A6B-AF54-5D2D1EFED795}"/>
    <hyperlink ref="C21" location="'III-3 Rémunérations'!A1" display="3. Rémunération" xr:uid="{1F7EF7D6-B3D3-4422-B3A7-7BC19517E005}"/>
    <hyperlink ref="C23" location="'IV-1 Risques professionnels'!A1" display="1. Risques professionnels" xr:uid="{1ECABA5D-DA65-47FC-8A31-8525130230BD}"/>
    <hyperlink ref="C24" location="'IV-2 Actions sociales'!A1" display="2. Actions sociales" xr:uid="{10C392BB-E421-4DB0-8FAB-7B28986CDD33}"/>
    <hyperlink ref="C25" location="'IV-3 Congés raison de santé'!A1" display="3. Congés pour raison de santé" xr:uid="{0917E2EC-77E2-425F-A570-2506B687C6C5}"/>
    <hyperlink ref="C27" location="'V-1 Temps de travail'!A1" display="1. Temps de travail" xr:uid="{1E753F9A-2EC0-46C3-B2D4-F789916192EE}"/>
    <hyperlink ref="C28" location="'V-2 Télétravail'!A1" display="2. Télétravail" xr:uid="{0A2CD3CA-BFC3-4331-B4E7-ECC97C79B390}"/>
    <hyperlink ref="C29" location="'V-3 Abs hors santé'!A1" display="3. Absence hors raison de santé" xr:uid="{C9B75289-2D1C-4711-9E1E-F5DC97AA108E}"/>
    <hyperlink ref="C30" location="'V-4 CET'!A1" display="4. CET" xr:uid="{3E23846B-15F1-4460-AFB1-435700408F4E}"/>
    <hyperlink ref="C31" location="'V-5 Handicap'!A1" display="5. Handicap" xr:uid="{6C8B9979-27EC-40FD-9C21-0E043A1329E8}"/>
    <hyperlink ref="B32" location="'VI Moyens accordés aux OS'!A1" display="Chapitre VI - Dialogue Social" xr:uid="{63743807-1CE2-4665-8EC8-118C21A15D05}"/>
  </hyperlinks>
  <pageMargins left="0.7" right="0.7" top="0.75" bottom="0.75" header="0.3" footer="0.3"/>
  <pageSetup paperSize="9" orientation="portrait" r:id="rId1"/>
  <headerFooter>
    <oddHeader>&amp;C&amp;"-,Gras"&amp;20RSU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FCBD-0865-43D6-BF42-457FDAF16497}">
  <sheetPr>
    <tabColor rgb="FF92D050"/>
  </sheetPr>
  <dimension ref="A1:H44"/>
  <sheetViews>
    <sheetView showGridLines="0" view="pageLayout" topLeftCell="D1" zoomScaleNormal="100" workbookViewId="0">
      <selection activeCell="R39" sqref="R39"/>
    </sheetView>
  </sheetViews>
  <sheetFormatPr baseColWidth="10" defaultRowHeight="15"/>
  <cols>
    <col min="2" max="2" width="13.7109375" customWidth="1"/>
    <col min="6" max="6" width="17" bestFit="1" customWidth="1"/>
    <col min="9" max="10" width="4" bestFit="1" customWidth="1"/>
    <col min="11" max="11" width="4.5703125" customWidth="1"/>
  </cols>
  <sheetData>
    <row r="1" spans="1:8" ht="18.75">
      <c r="A1" s="173" t="s">
        <v>449</v>
      </c>
      <c r="B1" s="286"/>
    </row>
    <row r="2" spans="1:8" ht="5.25" customHeight="1"/>
    <row r="3" spans="1:8">
      <c r="C3" s="290" t="s">
        <v>24</v>
      </c>
      <c r="D3" s="290" t="s">
        <v>25</v>
      </c>
      <c r="E3" s="285" t="s">
        <v>9</v>
      </c>
      <c r="F3" s="285" t="s">
        <v>459</v>
      </c>
    </row>
    <row r="4" spans="1:8">
      <c r="A4" s="635" t="s">
        <v>50</v>
      </c>
      <c r="B4" s="390" t="s">
        <v>5</v>
      </c>
      <c r="C4" s="457">
        <v>284</v>
      </c>
      <c r="D4" s="457">
        <v>124</v>
      </c>
      <c r="E4" s="89">
        <f>SUM(C4:D4)</f>
        <v>408</v>
      </c>
      <c r="F4" s="291">
        <f>C4/E4</f>
        <v>0.69607843137254899</v>
      </c>
    </row>
    <row r="5" spans="1:8">
      <c r="A5" s="635"/>
      <c r="B5" s="390" t="s">
        <v>34</v>
      </c>
      <c r="C5" s="457">
        <v>255</v>
      </c>
      <c r="D5" s="457">
        <v>393</v>
      </c>
      <c r="E5" s="89">
        <f>SUM(C5:D5)</f>
        <v>648</v>
      </c>
      <c r="F5" s="291">
        <f t="shared" ref="F5:F11" si="0">C5/E5</f>
        <v>0.39351851851851855</v>
      </c>
    </row>
    <row r="6" spans="1:8">
      <c r="A6" s="635"/>
      <c r="B6" s="455" t="s">
        <v>9</v>
      </c>
      <c r="C6" s="101">
        <f>SUM(C4:C5)</f>
        <v>539</v>
      </c>
      <c r="D6" s="101">
        <f t="shared" ref="D6:E6" si="1">SUM(D4:D5)</f>
        <v>517</v>
      </c>
      <c r="E6" s="101">
        <f t="shared" si="1"/>
        <v>1056</v>
      </c>
      <c r="F6" s="291">
        <f t="shared" si="0"/>
        <v>0.51041666666666663</v>
      </c>
    </row>
    <row r="7" spans="1:8">
      <c r="A7" s="634" t="s">
        <v>450</v>
      </c>
      <c r="B7" s="390" t="s">
        <v>5</v>
      </c>
      <c r="C7" s="457">
        <v>217</v>
      </c>
      <c r="D7" s="457">
        <v>91</v>
      </c>
      <c r="E7" s="89">
        <f t="shared" ref="E7:E9" si="2">SUM(C7:D7)</f>
        <v>308</v>
      </c>
      <c r="F7" s="291">
        <f t="shared" si="0"/>
        <v>0.70454545454545459</v>
      </c>
    </row>
    <row r="8" spans="1:8">
      <c r="A8" s="634"/>
      <c r="B8" s="390" t="s">
        <v>34</v>
      </c>
      <c r="C8" s="457">
        <v>66</v>
      </c>
      <c r="D8" s="457">
        <v>92</v>
      </c>
      <c r="E8" s="89">
        <f t="shared" si="2"/>
        <v>158</v>
      </c>
      <c r="F8" s="291">
        <f t="shared" si="0"/>
        <v>0.41772151898734178</v>
      </c>
    </row>
    <row r="9" spans="1:8" ht="30">
      <c r="A9" s="634"/>
      <c r="B9" s="388" t="s">
        <v>451</v>
      </c>
      <c r="C9" s="464">
        <f>34+17</f>
        <v>51</v>
      </c>
      <c r="D9" s="464">
        <f>34+67</f>
        <v>101</v>
      </c>
      <c r="E9" s="93">
        <f t="shared" si="2"/>
        <v>152</v>
      </c>
      <c r="F9" s="389">
        <f t="shared" si="0"/>
        <v>0.33552631578947367</v>
      </c>
      <c r="H9" s="287"/>
    </row>
    <row r="10" spans="1:8">
      <c r="A10" s="634"/>
      <c r="B10" s="455" t="s">
        <v>9</v>
      </c>
      <c r="C10" s="89">
        <f>SUM(C7:C9)</f>
        <v>334</v>
      </c>
      <c r="D10" s="89">
        <f t="shared" ref="D10:E10" si="3">SUM(D7:D9)</f>
        <v>284</v>
      </c>
      <c r="E10" s="89">
        <f t="shared" si="3"/>
        <v>618</v>
      </c>
      <c r="F10" s="291">
        <f t="shared" si="0"/>
        <v>0.54045307443365698</v>
      </c>
    </row>
    <row r="11" spans="1:8">
      <c r="A11" s="633" t="s">
        <v>452</v>
      </c>
      <c r="B11" s="633"/>
      <c r="C11" s="89">
        <f>C10+C6</f>
        <v>873</v>
      </c>
      <c r="D11" s="89">
        <f t="shared" ref="D11:E11" si="4">D10+D6</f>
        <v>801</v>
      </c>
      <c r="E11" s="89">
        <f t="shared" si="4"/>
        <v>1674</v>
      </c>
      <c r="F11" s="291">
        <f t="shared" si="0"/>
        <v>0.521505376344086</v>
      </c>
    </row>
    <row r="12" spans="1:8" ht="7.5" customHeight="1"/>
    <row r="13" spans="1:8">
      <c r="A13" s="173" t="s">
        <v>455</v>
      </c>
    </row>
    <row r="14" spans="1:8" ht="7.5" customHeight="1">
      <c r="A14" s="173"/>
    </row>
    <row r="15" spans="1:8">
      <c r="C15" s="290" t="s">
        <v>24</v>
      </c>
      <c r="D15" s="290" t="s">
        <v>25</v>
      </c>
      <c r="E15" s="285" t="s">
        <v>9</v>
      </c>
      <c r="F15" s="285" t="s">
        <v>459</v>
      </c>
    </row>
    <row r="16" spans="1:8">
      <c r="B16" s="292" t="s">
        <v>453</v>
      </c>
      <c r="C16" s="457">
        <f>32+13</f>
        <v>45</v>
      </c>
      <c r="D16" s="457">
        <f>54+1+86</f>
        <v>141</v>
      </c>
      <c r="E16" s="89">
        <f>SUM(C16:D16)</f>
        <v>186</v>
      </c>
      <c r="F16" s="291">
        <f>C16/E16</f>
        <v>0.24193548387096775</v>
      </c>
      <c r="G16" s="288"/>
    </row>
    <row r="17" spans="1:7">
      <c r="B17" s="292" t="s">
        <v>454</v>
      </c>
      <c r="C17" s="457">
        <f>13+1+7</f>
        <v>21</v>
      </c>
      <c r="D17" s="457">
        <f>9+2+143</f>
        <v>154</v>
      </c>
      <c r="E17" s="89">
        <f t="shared" ref="E17:E19" si="5">SUM(C17:D17)</f>
        <v>175</v>
      </c>
      <c r="F17" s="291">
        <f t="shared" ref="F17:F19" si="6">C17/E17</f>
        <v>0.12</v>
      </c>
      <c r="G17" s="288"/>
    </row>
    <row r="18" spans="1:7">
      <c r="B18" s="292" t="s">
        <v>27</v>
      </c>
      <c r="C18" s="457">
        <v>72</v>
      </c>
      <c r="D18" s="457">
        <v>98</v>
      </c>
      <c r="E18" s="89">
        <f t="shared" si="5"/>
        <v>170</v>
      </c>
      <c r="F18" s="291">
        <f t="shared" si="6"/>
        <v>0.42352941176470588</v>
      </c>
      <c r="G18" s="288"/>
    </row>
    <row r="19" spans="1:7">
      <c r="B19" s="285" t="s">
        <v>9</v>
      </c>
      <c r="C19" s="89">
        <f>SUM(C16:C18)</f>
        <v>138</v>
      </c>
      <c r="D19" s="89">
        <f>SUM(D16:D18)</f>
        <v>393</v>
      </c>
      <c r="E19" s="89">
        <f t="shared" si="5"/>
        <v>531</v>
      </c>
      <c r="F19" s="291">
        <f t="shared" si="6"/>
        <v>0.25988700564971751</v>
      </c>
      <c r="G19" s="288"/>
    </row>
    <row r="20" spans="1:7" ht="5.25" customHeight="1"/>
    <row r="21" spans="1:7">
      <c r="A21" s="173" t="s">
        <v>447</v>
      </c>
    </row>
    <row r="22" spans="1:7" ht="5.25" customHeight="1"/>
    <row r="23" spans="1:7">
      <c r="C23" s="290" t="s">
        <v>24</v>
      </c>
      <c r="D23" s="290" t="s">
        <v>25</v>
      </c>
      <c r="E23" s="285" t="s">
        <v>9</v>
      </c>
      <c r="F23" s="285" t="s">
        <v>459</v>
      </c>
    </row>
    <row r="24" spans="1:7">
      <c r="A24" s="293" t="s">
        <v>127</v>
      </c>
      <c r="B24" s="293"/>
      <c r="C24" s="284">
        <v>58</v>
      </c>
      <c r="D24" s="284">
        <v>49</v>
      </c>
      <c r="E24" s="89">
        <f>SUM(C24:D24)</f>
        <v>107</v>
      </c>
      <c r="F24" s="291">
        <f>C24/E24</f>
        <v>0.54205607476635509</v>
      </c>
      <c r="G24" s="288">
        <f>D24/E24</f>
        <v>0.45794392523364486</v>
      </c>
    </row>
    <row r="25" spans="1:7">
      <c r="A25" s="293" t="s">
        <v>126</v>
      </c>
      <c r="B25" s="293"/>
      <c r="C25" s="284">
        <v>62</v>
      </c>
      <c r="D25" s="284">
        <v>56</v>
      </c>
      <c r="E25" s="89">
        <f t="shared" ref="E25:E27" si="7">SUM(C25:D25)</f>
        <v>118</v>
      </c>
      <c r="F25" s="291">
        <f t="shared" ref="F25:F27" si="8">C25/E25</f>
        <v>0.52542372881355937</v>
      </c>
      <c r="G25" s="288">
        <f t="shared" ref="G25:G28" si="9">D25/E25</f>
        <v>0.47457627118644069</v>
      </c>
    </row>
    <row r="26" spans="1:7">
      <c r="A26" s="293" t="s">
        <v>129</v>
      </c>
      <c r="B26" s="293"/>
      <c r="C26" s="284">
        <v>52</v>
      </c>
      <c r="D26" s="284">
        <v>144</v>
      </c>
      <c r="E26" s="89">
        <f t="shared" si="7"/>
        <v>196</v>
      </c>
      <c r="F26" s="291">
        <f t="shared" si="8"/>
        <v>0.26530612244897961</v>
      </c>
      <c r="G26" s="288">
        <f t="shared" si="9"/>
        <v>0.73469387755102045</v>
      </c>
    </row>
    <row r="27" spans="1:7">
      <c r="A27" s="293" t="s">
        <v>130</v>
      </c>
      <c r="B27" s="293"/>
      <c r="C27" s="284">
        <v>44</v>
      </c>
      <c r="D27" s="284">
        <v>100</v>
      </c>
      <c r="E27" s="89">
        <f t="shared" si="7"/>
        <v>144</v>
      </c>
      <c r="F27" s="291">
        <f t="shared" si="8"/>
        <v>0.30555555555555558</v>
      </c>
      <c r="G27" s="288">
        <f t="shared" si="9"/>
        <v>0.69444444444444442</v>
      </c>
    </row>
    <row r="28" spans="1:7">
      <c r="A28" s="293" t="s">
        <v>128</v>
      </c>
      <c r="B28" s="293"/>
      <c r="C28" s="284">
        <v>12</v>
      </c>
      <c r="D28" s="284">
        <v>19</v>
      </c>
      <c r="E28" s="89">
        <f>SUM(C28:D28)</f>
        <v>31</v>
      </c>
      <c r="F28" s="291">
        <f>C28/E28</f>
        <v>0.38709677419354838</v>
      </c>
      <c r="G28" s="288">
        <f t="shared" si="9"/>
        <v>0.61290322580645162</v>
      </c>
    </row>
    <row r="33" spans="1:7">
      <c r="A33" s="173" t="s">
        <v>448</v>
      </c>
    </row>
    <row r="34" spans="1:7" ht="8.25" customHeight="1">
      <c r="A34" s="173"/>
    </row>
    <row r="35" spans="1:7">
      <c r="C35" s="290" t="s">
        <v>24</v>
      </c>
      <c r="D35" s="290" t="s">
        <v>25</v>
      </c>
      <c r="E35" s="285" t="s">
        <v>9</v>
      </c>
      <c r="F35" s="285" t="s">
        <v>459</v>
      </c>
      <c r="G35" s="289"/>
    </row>
    <row r="36" spans="1:7">
      <c r="B36" s="390" t="s">
        <v>62</v>
      </c>
      <c r="C36" s="457">
        <v>139</v>
      </c>
      <c r="D36" s="457">
        <v>96</v>
      </c>
      <c r="E36" s="89">
        <f t="shared" ref="E36:E38" si="10">SUM(C36:D36)</f>
        <v>235</v>
      </c>
      <c r="F36" s="291">
        <f t="shared" ref="F36:F38" si="11">C36/E36</f>
        <v>0.59148936170212763</v>
      </c>
      <c r="G36" s="288">
        <f>D36/E36</f>
        <v>0.40851063829787232</v>
      </c>
    </row>
    <row r="37" spans="1:7">
      <c r="B37" s="390" t="s">
        <v>63</v>
      </c>
      <c r="C37" s="457">
        <v>171</v>
      </c>
      <c r="D37" s="457">
        <v>56</v>
      </c>
      <c r="E37" s="89">
        <f t="shared" si="10"/>
        <v>227</v>
      </c>
      <c r="F37" s="291">
        <f t="shared" si="11"/>
        <v>0.75330396475770922</v>
      </c>
      <c r="G37" s="288">
        <f t="shared" ref="G37:G38" si="12">D37/E37</f>
        <v>0.24669603524229075</v>
      </c>
    </row>
    <row r="38" spans="1:7">
      <c r="B38" s="390" t="s">
        <v>64</v>
      </c>
      <c r="C38" s="457">
        <v>191</v>
      </c>
      <c r="D38" s="457">
        <v>63</v>
      </c>
      <c r="E38" s="89">
        <f t="shared" si="10"/>
        <v>254</v>
      </c>
      <c r="F38" s="291">
        <f t="shared" si="11"/>
        <v>0.75196850393700787</v>
      </c>
      <c r="G38" s="288">
        <f t="shared" si="12"/>
        <v>0.24803149606299213</v>
      </c>
    </row>
    <row r="39" spans="1:7">
      <c r="B39" s="285" t="s">
        <v>9</v>
      </c>
      <c r="C39" s="89">
        <f>SUM(C36:C38)</f>
        <v>501</v>
      </c>
      <c r="D39" s="89">
        <f>SUM(D36:D38)</f>
        <v>215</v>
      </c>
      <c r="E39" s="89">
        <f>SUM(C39:D39)</f>
        <v>716</v>
      </c>
      <c r="F39" s="291">
        <f>C39/E39</f>
        <v>0.69972067039106145</v>
      </c>
      <c r="G39" s="288">
        <f t="shared" ref="G39:G40" si="13">D38/E38</f>
        <v>0.24803149606299213</v>
      </c>
    </row>
    <row r="40" spans="1:7">
      <c r="G40" s="288">
        <f t="shared" si="13"/>
        <v>0.30027932960893855</v>
      </c>
    </row>
    <row r="41" spans="1:7">
      <c r="C41" s="391" t="s">
        <v>586</v>
      </c>
      <c r="D41" s="392">
        <f>(10+84+11)/(148+28+37)</f>
        <v>0.49295774647887325</v>
      </c>
    </row>
    <row r="42" spans="1:7">
      <c r="C42" s="34" t="s">
        <v>457</v>
      </c>
      <c r="D42" s="79">
        <f>10/28</f>
        <v>0.35714285714285715</v>
      </c>
    </row>
    <row r="43" spans="1:7">
      <c r="C43" s="34" t="s">
        <v>456</v>
      </c>
      <c r="D43" s="29">
        <f>84/148</f>
        <v>0.56756756756756754</v>
      </c>
    </row>
    <row r="44" spans="1:7">
      <c r="C44" s="34" t="s">
        <v>458</v>
      </c>
      <c r="D44" s="29">
        <f>11/37</f>
        <v>0.29729729729729731</v>
      </c>
    </row>
  </sheetData>
  <mergeCells count="3">
    <mergeCell ref="A11:B11"/>
    <mergeCell ref="A7:A10"/>
    <mergeCell ref="A4:A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&amp;C&amp;"-,Gras"Chapitre I - Emploi - Effectif - Démographie - Parité femmes/hommes
6. Parité</oddHeader>
    <oddFooter>&amp;C&amp;"-,Gras"Base de Données Sociales 2023&amp;R&amp;P</oddFooter>
  </headerFooter>
  <rowBreaks count="1" manualBreakCount="1">
    <brk id="48" max="1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E60C-DE93-40FF-9AF6-468B6E610F3F}">
  <sheetPr codeName="Feuil8">
    <tabColor rgb="FF92D050"/>
  </sheetPr>
  <dimension ref="A1:N49"/>
  <sheetViews>
    <sheetView showGridLines="0" view="pageLayout" zoomScale="90" zoomScaleNormal="100" zoomScalePageLayoutView="90" workbookViewId="0">
      <selection activeCell="G65" sqref="G65"/>
    </sheetView>
  </sheetViews>
  <sheetFormatPr baseColWidth="10" defaultRowHeight="15"/>
  <cols>
    <col min="1" max="1" width="23.140625" customWidth="1"/>
    <col min="7" max="7" width="10.85546875" bestFit="1" customWidth="1"/>
    <col min="8" max="8" width="15.42578125" customWidth="1"/>
    <col min="10" max="10" width="15.5703125" customWidth="1"/>
  </cols>
  <sheetData>
    <row r="1" spans="1:14" ht="15.75">
      <c r="A1" s="13" t="s">
        <v>222</v>
      </c>
    </row>
    <row r="2" spans="1:14">
      <c r="A2" t="s">
        <v>223</v>
      </c>
    </row>
    <row r="4" spans="1:14">
      <c r="B4" s="102" t="s">
        <v>24</v>
      </c>
      <c r="C4" s="102" t="s">
        <v>25</v>
      </c>
      <c r="D4" s="98" t="s">
        <v>9</v>
      </c>
    </row>
    <row r="5" spans="1:14">
      <c r="A5" s="246" t="s">
        <v>4</v>
      </c>
      <c r="B5" s="248">
        <v>172</v>
      </c>
      <c r="C5" s="248">
        <v>115</v>
      </c>
      <c r="D5" s="242">
        <f>SUM(B5:C5)</f>
        <v>287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>
      <c r="A6" s="246" t="s">
        <v>5</v>
      </c>
      <c r="B6" s="248">
        <v>757</v>
      </c>
      <c r="C6" s="248">
        <v>199</v>
      </c>
      <c r="D6" s="242">
        <f t="shared" ref="D6" si="0">SUM(B6:C6)</f>
        <v>956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4">
      <c r="A7" s="249" t="s">
        <v>9</v>
      </c>
      <c r="B7" s="242">
        <f>SUM(B5:B6)</f>
        <v>929</v>
      </c>
      <c r="C7" s="242">
        <f>SUM(C5:C6)</f>
        <v>314</v>
      </c>
      <c r="D7" s="242">
        <f>SUM(D5:D6)</f>
        <v>1243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spans="1:14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</row>
    <row r="9" spans="1:14" ht="8.25" customHeight="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</row>
    <row r="10" spans="1:14">
      <c r="A10" s="238" t="s">
        <v>422</v>
      </c>
      <c r="B10" s="238"/>
      <c r="C10" s="238"/>
      <c r="D10" s="238"/>
      <c r="E10" s="238"/>
      <c r="F10" s="238"/>
      <c r="G10" s="238"/>
      <c r="H10" s="238" t="s">
        <v>425</v>
      </c>
      <c r="I10" s="238"/>
      <c r="J10" s="238"/>
      <c r="K10" s="238"/>
      <c r="L10" s="238"/>
      <c r="M10" s="238"/>
      <c r="N10" s="238"/>
    </row>
    <row r="11" spans="1:14" ht="6.75" customHeight="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</row>
    <row r="12" spans="1:14">
      <c r="A12" s="238"/>
      <c r="B12" s="238"/>
      <c r="C12" s="246" t="s">
        <v>62</v>
      </c>
      <c r="D12" s="246" t="s">
        <v>63</v>
      </c>
      <c r="E12" s="246" t="s">
        <v>64</v>
      </c>
      <c r="F12" s="247" t="s">
        <v>9</v>
      </c>
      <c r="G12" s="238"/>
      <c r="H12" s="636" t="s">
        <v>426</v>
      </c>
      <c r="I12" s="636" t="s">
        <v>427</v>
      </c>
      <c r="J12" s="637" t="s">
        <v>9</v>
      </c>
      <c r="K12" s="238"/>
      <c r="L12" s="238"/>
      <c r="M12" s="238"/>
      <c r="N12" s="238"/>
    </row>
    <row r="13" spans="1:14">
      <c r="A13" s="638" t="s">
        <v>6</v>
      </c>
      <c r="B13" s="246" t="s">
        <v>24</v>
      </c>
      <c r="C13" s="238">
        <v>290</v>
      </c>
      <c r="D13" s="238">
        <v>141</v>
      </c>
      <c r="E13" s="238">
        <v>126</v>
      </c>
      <c r="F13" s="242">
        <f>SUM(C13:E13)</f>
        <v>557</v>
      </c>
      <c r="G13" s="238"/>
      <c r="H13" s="636"/>
      <c r="I13" s="636"/>
      <c r="J13" s="637"/>
      <c r="K13" s="238"/>
      <c r="L13" s="238"/>
      <c r="M13" s="238"/>
      <c r="N13" s="238"/>
    </row>
    <row r="14" spans="1:14">
      <c r="A14" s="638"/>
      <c r="B14" s="246" t="s">
        <v>25</v>
      </c>
      <c r="C14" s="238">
        <v>157</v>
      </c>
      <c r="D14" s="238">
        <v>18</v>
      </c>
      <c r="E14" s="238">
        <v>28</v>
      </c>
      <c r="F14" s="242">
        <f t="shared" ref="F14:F19" si="1">SUM(C14:E14)</f>
        <v>203</v>
      </c>
      <c r="G14" s="238"/>
      <c r="H14" s="245">
        <v>106733.25</v>
      </c>
      <c r="I14" s="245">
        <v>4577</v>
      </c>
      <c r="J14" s="245">
        <f>I14+H14</f>
        <v>111310.25</v>
      </c>
      <c r="K14" s="238"/>
      <c r="L14" s="238"/>
      <c r="M14" s="238"/>
      <c r="N14" s="238"/>
    </row>
    <row r="15" spans="1:14">
      <c r="A15" s="640" t="s">
        <v>224</v>
      </c>
      <c r="B15" s="640"/>
      <c r="C15" s="243">
        <f>SUM(C13:C14)</f>
        <v>447</v>
      </c>
      <c r="D15" s="243">
        <f t="shared" ref="D15" si="2">SUM(D13:D14)</f>
        <v>159</v>
      </c>
      <c r="E15" s="243">
        <f t="shared" ref="E15" si="3">SUM(E13:E14)</f>
        <v>154</v>
      </c>
      <c r="F15" s="242">
        <f t="shared" si="1"/>
        <v>760</v>
      </c>
      <c r="G15" s="238"/>
      <c r="H15" s="238"/>
      <c r="I15" s="238"/>
      <c r="J15" s="238"/>
      <c r="K15" s="238"/>
      <c r="L15" s="238"/>
      <c r="M15" s="238"/>
      <c r="N15" s="238"/>
    </row>
    <row r="16" spans="1:14" ht="15" customHeight="1">
      <c r="A16" s="638" t="s">
        <v>67</v>
      </c>
      <c r="B16" s="246" t="s">
        <v>24</v>
      </c>
      <c r="C16" s="238">
        <v>116</v>
      </c>
      <c r="D16" s="238">
        <v>121</v>
      </c>
      <c r="E16" s="238">
        <v>135</v>
      </c>
      <c r="F16" s="242">
        <f t="shared" si="1"/>
        <v>372</v>
      </c>
      <c r="G16" s="238"/>
      <c r="H16" s="636" t="s">
        <v>590</v>
      </c>
      <c r="I16" s="636"/>
      <c r="J16" s="636"/>
      <c r="K16" s="636"/>
      <c r="L16" s="636"/>
      <c r="M16" s="238"/>
      <c r="N16" s="238"/>
    </row>
    <row r="17" spans="1:14">
      <c r="A17" s="638"/>
      <c r="B17" s="246" t="s">
        <v>25</v>
      </c>
      <c r="C17" s="238">
        <v>39</v>
      </c>
      <c r="D17" s="238">
        <v>30</v>
      </c>
      <c r="E17" s="238">
        <v>42</v>
      </c>
      <c r="F17" s="242">
        <f t="shared" si="1"/>
        <v>111</v>
      </c>
      <c r="G17" s="238"/>
      <c r="H17" s="404" t="s">
        <v>9</v>
      </c>
      <c r="I17" s="246" t="s">
        <v>627</v>
      </c>
      <c r="J17" s="246" t="s">
        <v>193</v>
      </c>
      <c r="K17" s="246" t="s">
        <v>194</v>
      </c>
      <c r="L17" s="246" t="s">
        <v>195</v>
      </c>
      <c r="M17" s="238"/>
      <c r="N17" s="238"/>
    </row>
    <row r="18" spans="1:14">
      <c r="A18" s="640" t="s">
        <v>225</v>
      </c>
      <c r="B18" s="640"/>
      <c r="C18" s="243">
        <f>SUM(C16:C17)</f>
        <v>155</v>
      </c>
      <c r="D18" s="243">
        <f t="shared" ref="D18" si="4">SUM(D16:D17)</f>
        <v>151</v>
      </c>
      <c r="E18" s="243">
        <f t="shared" ref="E18" si="5">SUM(E16:E17)</f>
        <v>177</v>
      </c>
      <c r="F18" s="242">
        <f t="shared" si="1"/>
        <v>483</v>
      </c>
      <c r="G18" s="238"/>
      <c r="H18" s="411">
        <f>541/'I-2.1 Effectif Global'!K6</f>
        <v>0.31804820693709585</v>
      </c>
      <c r="I18" s="412">
        <f>101/('I-2.1 Effectif Global'!T5+'I-2.1 Effectif Global'!T6)</f>
        <v>0.10212335692618807</v>
      </c>
      <c r="J18" s="81">
        <f>146/'I-2.2 Effectif BIATSS'!I6</f>
        <v>0.62393162393162394</v>
      </c>
      <c r="K18" s="81">
        <f>141/'I-2.2 Effectif BIATSS'!I7</f>
        <v>0.62666666666666671</v>
      </c>
      <c r="L18" s="81">
        <f>153/'I-2.2 Effectif BIATSS'!I8</f>
        <v>0.60474308300395252</v>
      </c>
    </row>
    <row r="19" spans="1:14">
      <c r="A19" s="639" t="s">
        <v>10</v>
      </c>
      <c r="B19" s="639"/>
      <c r="C19" s="242">
        <f>SUM(C18,C15)</f>
        <v>602</v>
      </c>
      <c r="D19" s="242">
        <f t="shared" ref="D19" si="6">SUM(D18,D15)</f>
        <v>310</v>
      </c>
      <c r="E19" s="242">
        <f t="shared" ref="E19" si="7">SUM(E18,E15)</f>
        <v>331</v>
      </c>
      <c r="F19" s="242">
        <f t="shared" si="1"/>
        <v>1243</v>
      </c>
      <c r="G19" s="238"/>
      <c r="H19" s="238"/>
    </row>
    <row r="20" spans="1:14">
      <c r="A20" s="238"/>
      <c r="B20" s="238"/>
      <c r="C20" s="238"/>
      <c r="D20" s="238"/>
      <c r="E20" s="238"/>
      <c r="F20" s="238"/>
      <c r="G20" s="238"/>
    </row>
    <row r="21" spans="1:14">
      <c r="A21" s="238" t="s">
        <v>428</v>
      </c>
      <c r="B21" s="238"/>
      <c r="C21" s="238"/>
      <c r="D21" s="238"/>
      <c r="E21" s="238"/>
      <c r="F21" s="238"/>
      <c r="G21" s="238"/>
      <c r="H21" s="450" t="s">
        <v>628</v>
      </c>
      <c r="K21" s="238"/>
      <c r="L21" s="238"/>
      <c r="M21" s="238"/>
      <c r="N21" s="238"/>
    </row>
    <row r="22" spans="1:14" ht="6.75" customHeight="1">
      <c r="A22" s="238"/>
      <c r="B22" s="238"/>
      <c r="C22" s="238"/>
      <c r="D22" s="238"/>
      <c r="E22" s="238"/>
      <c r="F22" s="238"/>
      <c r="G22" s="238"/>
      <c r="K22" s="238"/>
      <c r="L22" s="238"/>
      <c r="M22" s="238"/>
      <c r="N22" s="238"/>
    </row>
    <row r="23" spans="1:14">
      <c r="A23" s="246" t="s">
        <v>432</v>
      </c>
      <c r="B23" s="246" t="s">
        <v>34</v>
      </c>
      <c r="C23" s="246" t="s">
        <v>405</v>
      </c>
      <c r="D23" s="246" t="s">
        <v>406</v>
      </c>
      <c r="E23" s="246" t="s">
        <v>407</v>
      </c>
      <c r="F23" s="247" t="s">
        <v>9</v>
      </c>
      <c r="G23" s="238"/>
      <c r="H23" s="404" t="s">
        <v>9</v>
      </c>
      <c r="I23" s="246" t="s">
        <v>627</v>
      </c>
      <c r="J23" s="246" t="s">
        <v>5</v>
      </c>
      <c r="K23" s="238"/>
      <c r="L23" s="238"/>
      <c r="M23" s="238"/>
      <c r="N23" s="238"/>
    </row>
    <row r="24" spans="1:14">
      <c r="A24" s="246" t="s">
        <v>429</v>
      </c>
      <c r="B24" s="238"/>
      <c r="C24" s="238"/>
      <c r="D24" s="238">
        <v>1</v>
      </c>
      <c r="E24" s="238"/>
      <c r="F24" s="242">
        <f>SUM(B24:E24)</f>
        <v>1</v>
      </c>
      <c r="G24" s="238"/>
      <c r="H24" s="248">
        <v>13.9</v>
      </c>
      <c r="I24" s="248">
        <v>11.7</v>
      </c>
      <c r="J24" s="248">
        <v>14.4</v>
      </c>
      <c r="K24" s="238"/>
      <c r="L24" s="238"/>
      <c r="M24" s="238"/>
      <c r="N24" s="238"/>
    </row>
    <row r="25" spans="1:14">
      <c r="A25" s="246" t="s">
        <v>430</v>
      </c>
      <c r="B25" s="238">
        <v>1</v>
      </c>
      <c r="C25" s="238"/>
      <c r="D25" s="238">
        <v>1</v>
      </c>
      <c r="E25" s="238"/>
      <c r="F25" s="242">
        <f t="shared" ref="F25:F26" si="8">SUM(B25:E25)</f>
        <v>2</v>
      </c>
      <c r="G25" s="238"/>
      <c r="H25" s="238"/>
      <c r="I25" s="238"/>
      <c r="J25" s="238"/>
      <c r="K25" s="238"/>
      <c r="L25" s="238"/>
      <c r="M25" s="238"/>
      <c r="N25" s="238"/>
    </row>
    <row r="26" spans="1:14">
      <c r="A26" s="246" t="s">
        <v>431</v>
      </c>
      <c r="B26" s="238">
        <v>1</v>
      </c>
      <c r="C26" s="238"/>
      <c r="D26" s="238">
        <v>1</v>
      </c>
      <c r="E26" s="238"/>
      <c r="F26" s="242">
        <f t="shared" si="8"/>
        <v>2</v>
      </c>
      <c r="G26" s="238"/>
      <c r="H26" s="238"/>
      <c r="I26" s="238"/>
      <c r="J26" s="238"/>
      <c r="K26" s="238"/>
      <c r="L26" s="238"/>
      <c r="M26" s="238"/>
      <c r="N26" s="238"/>
    </row>
    <row r="27" spans="1:14" ht="15.75">
      <c r="A27" s="250" t="s">
        <v>226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</row>
    <row r="28" spans="1:14">
      <c r="A28" s="238" t="s">
        <v>227</v>
      </c>
      <c r="B28" s="238"/>
      <c r="C28" s="238"/>
      <c r="D28" s="238"/>
      <c r="E28" s="238"/>
      <c r="F28" s="450" t="s">
        <v>228</v>
      </c>
      <c r="G28" s="238"/>
      <c r="H28" s="238"/>
      <c r="I28" s="238"/>
      <c r="J28" s="238"/>
      <c r="K28" s="238"/>
      <c r="L28" s="238"/>
      <c r="M28" s="238"/>
      <c r="N28" s="238"/>
    </row>
    <row r="29" spans="1:14" ht="6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</row>
    <row r="30" spans="1:14">
      <c r="A30" s="238"/>
      <c r="B30" s="246" t="s">
        <v>24</v>
      </c>
      <c r="C30" s="246" t="s">
        <v>25</v>
      </c>
      <c r="D30" s="247" t="s">
        <v>9</v>
      </c>
      <c r="E30" s="238"/>
      <c r="F30" s="238"/>
      <c r="G30" s="238"/>
      <c r="H30" s="246" t="s">
        <v>62</v>
      </c>
      <c r="I30" s="246" t="s">
        <v>63</v>
      </c>
      <c r="J30" s="246" t="s">
        <v>64</v>
      </c>
      <c r="K30" s="247" t="s">
        <v>9</v>
      </c>
      <c r="L30" s="238"/>
      <c r="M30" s="238"/>
      <c r="N30" s="238"/>
    </row>
    <row r="31" spans="1:14">
      <c r="A31" s="246" t="s">
        <v>4</v>
      </c>
      <c r="B31" s="248">
        <v>198</v>
      </c>
      <c r="C31" s="248">
        <v>132</v>
      </c>
      <c r="D31" s="242">
        <f>SUM(B31:C31)</f>
        <v>330</v>
      </c>
      <c r="E31" s="238"/>
      <c r="F31" s="251" t="s">
        <v>6</v>
      </c>
      <c r="G31" s="246" t="s">
        <v>24</v>
      </c>
      <c r="H31" s="248">
        <v>398</v>
      </c>
      <c r="I31" s="248">
        <v>161</v>
      </c>
      <c r="J31" s="248">
        <v>134</v>
      </c>
      <c r="K31" s="242">
        <f>SUM(H31:J31)</f>
        <v>693</v>
      </c>
      <c r="L31" s="238"/>
      <c r="M31" s="238"/>
      <c r="N31" s="238"/>
    </row>
    <row r="32" spans="1:14">
      <c r="A32" s="246" t="s">
        <v>5</v>
      </c>
      <c r="B32" s="248">
        <v>979</v>
      </c>
      <c r="C32" s="248">
        <v>289</v>
      </c>
      <c r="D32" s="242">
        <f t="shared" ref="D32:D33" si="9">SUM(B32:C32)</f>
        <v>1268</v>
      </c>
      <c r="E32" s="238"/>
      <c r="F32" s="251"/>
      <c r="G32" s="246" t="s">
        <v>25</v>
      </c>
      <c r="H32" s="248">
        <v>183</v>
      </c>
      <c r="I32" s="248">
        <v>24</v>
      </c>
      <c r="J32" s="248">
        <v>40</v>
      </c>
      <c r="K32" s="242">
        <f t="shared" ref="K32:K37" si="10">SUM(H32:J32)</f>
        <v>247</v>
      </c>
      <c r="L32" s="238"/>
      <c r="M32" s="238"/>
      <c r="N32" s="238"/>
    </row>
    <row r="33" spans="1:14">
      <c r="A33" s="247" t="s">
        <v>10</v>
      </c>
      <c r="B33" s="242">
        <f>SUM(B31:B32)</f>
        <v>1177</v>
      </c>
      <c r="C33" s="242">
        <f>SUM(C31:C32)</f>
        <v>421</v>
      </c>
      <c r="D33" s="242">
        <f t="shared" si="9"/>
        <v>1598</v>
      </c>
      <c r="E33" s="238"/>
      <c r="F33" s="252" t="s">
        <v>224</v>
      </c>
      <c r="G33" s="252"/>
      <c r="H33" s="243">
        <f>SUM(H31:H32)</f>
        <v>581</v>
      </c>
      <c r="I33" s="243">
        <f t="shared" ref="I33:J33" si="11">SUM(I31:I32)</f>
        <v>185</v>
      </c>
      <c r="J33" s="243">
        <f t="shared" si="11"/>
        <v>174</v>
      </c>
      <c r="K33" s="242">
        <f t="shared" si="10"/>
        <v>940</v>
      </c>
      <c r="L33" s="238"/>
      <c r="M33" s="238"/>
      <c r="N33" s="238"/>
    </row>
    <row r="34" spans="1:14">
      <c r="A34" s="238"/>
      <c r="B34" s="238"/>
      <c r="C34" s="238"/>
      <c r="D34" s="238"/>
      <c r="E34" s="238"/>
      <c r="F34" s="251" t="s">
        <v>67</v>
      </c>
      <c r="G34" s="246" t="s">
        <v>24</v>
      </c>
      <c r="H34" s="248">
        <v>152</v>
      </c>
      <c r="I34" s="457">
        <v>157</v>
      </c>
      <c r="J34" s="457">
        <v>174</v>
      </c>
      <c r="K34" s="101">
        <f t="shared" si="10"/>
        <v>483</v>
      </c>
    </row>
    <row r="35" spans="1:14">
      <c r="A35" s="238"/>
      <c r="B35" s="238"/>
      <c r="C35" s="238"/>
      <c r="D35" s="238"/>
      <c r="E35" s="238"/>
      <c r="F35" s="251"/>
      <c r="G35" s="246" t="s">
        <v>25</v>
      </c>
      <c r="H35" s="248">
        <v>72</v>
      </c>
      <c r="I35" s="457">
        <v>39</v>
      </c>
      <c r="J35" s="457">
        <v>62</v>
      </c>
      <c r="K35" s="101">
        <f t="shared" si="10"/>
        <v>173</v>
      </c>
    </row>
    <row r="36" spans="1:14">
      <c r="F36" s="223" t="s">
        <v>225</v>
      </c>
      <c r="G36" s="223"/>
      <c r="H36" s="106">
        <f>SUM(H34:H35)</f>
        <v>224</v>
      </c>
      <c r="I36" s="106">
        <f t="shared" ref="I36" si="12">SUM(I34:I35)</f>
        <v>196</v>
      </c>
      <c r="J36" s="106">
        <f t="shared" ref="J36" si="13">SUM(J34:J35)</f>
        <v>236</v>
      </c>
      <c r="K36" s="101">
        <f t="shared" si="10"/>
        <v>656</v>
      </c>
    </row>
    <row r="37" spans="1:14">
      <c r="F37" s="222" t="s">
        <v>10</v>
      </c>
      <c r="G37" s="222"/>
      <c r="H37" s="101">
        <f>SUM(H36,H33)</f>
        <v>805</v>
      </c>
      <c r="I37" s="101">
        <f t="shared" ref="I37:J37" si="14">SUM(I36,I33)</f>
        <v>381</v>
      </c>
      <c r="J37" s="101">
        <f t="shared" si="14"/>
        <v>410</v>
      </c>
      <c r="K37" s="101">
        <f t="shared" si="10"/>
        <v>1596</v>
      </c>
    </row>
    <row r="38" spans="1:14" ht="9" customHeight="1"/>
    <row r="39" spans="1:14" ht="15.75">
      <c r="A39" s="13" t="s">
        <v>683</v>
      </c>
    </row>
    <row r="40" spans="1:14">
      <c r="A40" t="s">
        <v>227</v>
      </c>
      <c r="F40" s="403" t="s">
        <v>228</v>
      </c>
    </row>
    <row r="42" spans="1:14">
      <c r="B42" s="102" t="s">
        <v>24</v>
      </c>
      <c r="C42" s="102" t="s">
        <v>25</v>
      </c>
      <c r="D42" s="100" t="s">
        <v>9</v>
      </c>
      <c r="H42" s="102" t="s">
        <v>62</v>
      </c>
      <c r="I42" s="102" t="s">
        <v>63</v>
      </c>
      <c r="J42" s="102" t="s">
        <v>64</v>
      </c>
      <c r="K42" s="100" t="s">
        <v>9</v>
      </c>
    </row>
    <row r="43" spans="1:14">
      <c r="A43" s="102" t="s">
        <v>4</v>
      </c>
      <c r="B43" s="457">
        <v>67</v>
      </c>
      <c r="C43" s="457">
        <v>34</v>
      </c>
      <c r="D43" s="101">
        <f>SUM(B43:C43)</f>
        <v>101</v>
      </c>
      <c r="F43" s="104" t="s">
        <v>6</v>
      </c>
      <c r="G43" s="102" t="s">
        <v>24</v>
      </c>
      <c r="H43" s="457">
        <v>110</v>
      </c>
      <c r="I43" s="457">
        <v>63</v>
      </c>
      <c r="J43" s="457">
        <v>57</v>
      </c>
      <c r="K43" s="101">
        <f>SUM(H43:J43)</f>
        <v>230</v>
      </c>
    </row>
    <row r="44" spans="1:14">
      <c r="A44" s="102" t="s">
        <v>5</v>
      </c>
      <c r="B44" s="457">
        <v>321</v>
      </c>
      <c r="C44" s="457">
        <v>119</v>
      </c>
      <c r="D44" s="101">
        <f t="shared" ref="D44:D45" si="15">SUM(B44:C44)</f>
        <v>440</v>
      </c>
      <c r="F44" s="104"/>
      <c r="G44" s="102" t="s">
        <v>25</v>
      </c>
      <c r="H44" s="457">
        <v>61</v>
      </c>
      <c r="I44" s="457">
        <v>12</v>
      </c>
      <c r="J44" s="457">
        <v>15</v>
      </c>
      <c r="K44" s="101">
        <f t="shared" ref="K44:K48" si="16">SUM(H44:J44)</f>
        <v>88</v>
      </c>
    </row>
    <row r="45" spans="1:14">
      <c r="A45" s="100" t="s">
        <v>10</v>
      </c>
      <c r="B45" s="101">
        <f>SUM(B43:B44)</f>
        <v>388</v>
      </c>
      <c r="C45" s="101">
        <f>SUM(C43:C44)</f>
        <v>153</v>
      </c>
      <c r="D45" s="101">
        <f t="shared" si="15"/>
        <v>541</v>
      </c>
      <c r="F45" s="103" t="s">
        <v>224</v>
      </c>
      <c r="G45" s="103"/>
      <c r="H45" s="106">
        <f>SUM(H43:H44)</f>
        <v>171</v>
      </c>
      <c r="I45" s="106">
        <f>SUM(I43:I44)</f>
        <v>75</v>
      </c>
      <c r="J45" s="106">
        <f>SUM(J43:J44)</f>
        <v>72</v>
      </c>
      <c r="K45" s="101">
        <f t="shared" si="16"/>
        <v>318</v>
      </c>
    </row>
    <row r="46" spans="1:14">
      <c r="F46" s="104" t="s">
        <v>67</v>
      </c>
      <c r="G46" s="102" t="s">
        <v>24</v>
      </c>
      <c r="H46" s="457">
        <v>50</v>
      </c>
      <c r="I46" s="457">
        <v>47</v>
      </c>
      <c r="J46" s="457">
        <v>61</v>
      </c>
      <c r="K46" s="101">
        <f t="shared" si="16"/>
        <v>158</v>
      </c>
    </row>
    <row r="47" spans="1:14">
      <c r="F47" s="104"/>
      <c r="G47" s="102" t="s">
        <v>25</v>
      </c>
      <c r="H47" s="457">
        <v>26</v>
      </c>
      <c r="I47" s="457">
        <v>19</v>
      </c>
      <c r="J47" s="457">
        <v>20</v>
      </c>
      <c r="K47" s="101">
        <f t="shared" si="16"/>
        <v>65</v>
      </c>
    </row>
    <row r="48" spans="1:14">
      <c r="F48" s="103" t="s">
        <v>225</v>
      </c>
      <c r="G48" s="103"/>
      <c r="H48" s="106">
        <f>SUM(H46:H47)</f>
        <v>76</v>
      </c>
      <c r="I48" s="106">
        <f>SUM(I46:I47)</f>
        <v>66</v>
      </c>
      <c r="J48" s="106">
        <f>SUM(J46:J47)</f>
        <v>81</v>
      </c>
      <c r="K48" s="101">
        <f t="shared" si="16"/>
        <v>223</v>
      </c>
    </row>
    <row r="49" spans="6:11">
      <c r="F49" s="560" t="s">
        <v>10</v>
      </c>
      <c r="G49" s="560"/>
      <c r="H49" s="101">
        <f>SUM(H48,H45)</f>
        <v>247</v>
      </c>
      <c r="I49" s="101">
        <f>SUM(I48,I45)</f>
        <v>141</v>
      </c>
      <c r="J49" s="101">
        <f>SUM(J48,J45)</f>
        <v>153</v>
      </c>
      <c r="K49" s="101">
        <f>SUM(H49:J49)</f>
        <v>541</v>
      </c>
    </row>
  </sheetData>
  <mergeCells count="9">
    <mergeCell ref="I12:I13"/>
    <mergeCell ref="J12:J13"/>
    <mergeCell ref="A13:A14"/>
    <mergeCell ref="A16:A17"/>
    <mergeCell ref="A19:B19"/>
    <mergeCell ref="A18:B18"/>
    <mergeCell ref="A15:B15"/>
    <mergeCell ref="H12:H13"/>
    <mergeCell ref="H16:L1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Header>&amp;C&amp;"-,Gras"Chapitre II - Parcours professionnel
1. Formations</oddHeader>
    <oddFooter>&amp;C&amp;"-,Gras"Base de Données Sociales 2023&amp;R&amp;P</oddFooter>
  </headerFooter>
  <rowBreaks count="1" manualBreakCount="1">
    <brk id="2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51AB-59EE-476F-9C4D-3095170523E2}">
  <sheetPr>
    <tabColor rgb="FF92D050"/>
  </sheetPr>
  <dimension ref="A1:S33"/>
  <sheetViews>
    <sheetView showGridLines="0" view="pageBreakPreview" topLeftCell="H1" zoomScale="60" zoomScaleNormal="100" zoomScalePageLayoutView="60" workbookViewId="0">
      <selection activeCell="P43" sqref="P43"/>
    </sheetView>
  </sheetViews>
  <sheetFormatPr baseColWidth="10" defaultColWidth="11.140625" defaultRowHeight="15"/>
  <cols>
    <col min="1" max="1" width="34" bestFit="1" customWidth="1"/>
    <col min="2" max="8" width="8.42578125" customWidth="1"/>
    <col min="9" max="9" width="34" bestFit="1" customWidth="1"/>
    <col min="10" max="14" width="8.85546875" customWidth="1"/>
    <col min="16" max="16" width="65.140625" bestFit="1" customWidth="1"/>
  </cols>
  <sheetData>
    <row r="1" spans="1:19" ht="15.75">
      <c r="A1" s="13" t="s">
        <v>403</v>
      </c>
      <c r="I1" s="13" t="s">
        <v>424</v>
      </c>
      <c r="P1" t="s">
        <v>433</v>
      </c>
    </row>
    <row r="2" spans="1:19" ht="6.75" customHeight="1"/>
    <row r="3" spans="1:19">
      <c r="A3" t="s">
        <v>421</v>
      </c>
      <c r="I3" t="s">
        <v>421</v>
      </c>
      <c r="P3" t="s">
        <v>421</v>
      </c>
    </row>
    <row r="4" spans="1:19">
      <c r="Q4" s="231" t="s">
        <v>210</v>
      </c>
      <c r="R4" s="231" t="s">
        <v>5</v>
      </c>
      <c r="S4" s="227" t="s">
        <v>9</v>
      </c>
    </row>
    <row r="5" spans="1:19">
      <c r="A5" s="641" t="s">
        <v>404</v>
      </c>
      <c r="B5" s="240" t="s">
        <v>405</v>
      </c>
      <c r="C5" s="240"/>
      <c r="D5" s="240" t="s">
        <v>406</v>
      </c>
      <c r="E5" s="240"/>
      <c r="F5" s="240" t="s">
        <v>407</v>
      </c>
      <c r="G5" s="240"/>
      <c r="H5" s="637" t="s">
        <v>9</v>
      </c>
      <c r="I5" s="641" t="s">
        <v>404</v>
      </c>
      <c r="J5" s="240" t="s">
        <v>106</v>
      </c>
      <c r="K5" s="240"/>
      <c r="L5" s="240" t="s">
        <v>27</v>
      </c>
      <c r="M5" s="240"/>
      <c r="N5" s="637" t="s">
        <v>9</v>
      </c>
      <c r="P5" s="231" t="s">
        <v>434</v>
      </c>
      <c r="Q5" s="457"/>
      <c r="R5" s="457">
        <v>36</v>
      </c>
      <c r="S5" s="232">
        <f>SUM(Q5:R5)</f>
        <v>36</v>
      </c>
    </row>
    <row r="6" spans="1:19">
      <c r="A6" s="641"/>
      <c r="B6" s="239" t="s">
        <v>408</v>
      </c>
      <c r="C6" s="239" t="s">
        <v>409</v>
      </c>
      <c r="D6" s="239" t="s">
        <v>408</v>
      </c>
      <c r="E6" s="239" t="s">
        <v>409</v>
      </c>
      <c r="F6" s="239" t="s">
        <v>408</v>
      </c>
      <c r="G6" s="239" t="s">
        <v>409</v>
      </c>
      <c r="H6" s="637"/>
      <c r="I6" s="641"/>
      <c r="J6" s="239" t="s">
        <v>408</v>
      </c>
      <c r="K6" s="239" t="s">
        <v>409</v>
      </c>
      <c r="L6" s="239" t="s">
        <v>408</v>
      </c>
      <c r="M6" s="239" t="s">
        <v>409</v>
      </c>
      <c r="N6" s="637"/>
      <c r="P6" s="231" t="s">
        <v>435</v>
      </c>
      <c r="Q6" s="457">
        <v>11</v>
      </c>
      <c r="R6" s="457">
        <v>51</v>
      </c>
      <c r="S6" s="232">
        <f t="shared" ref="S6:S15" si="0">SUM(Q6:R6)</f>
        <v>62</v>
      </c>
    </row>
    <row r="7" spans="1:19">
      <c r="A7" s="241" t="s">
        <v>410</v>
      </c>
      <c r="B7" s="248">
        <v>14</v>
      </c>
      <c r="C7" s="248">
        <v>1</v>
      </c>
      <c r="D7" s="248">
        <v>11</v>
      </c>
      <c r="E7" s="248">
        <v>1</v>
      </c>
      <c r="F7" s="248">
        <v>23</v>
      </c>
      <c r="G7" s="248"/>
      <c r="H7" s="242">
        <f t="shared" ref="H7:H15" si="1">SUM(B7:G7)</f>
        <v>50</v>
      </c>
      <c r="I7" s="241" t="s">
        <v>410</v>
      </c>
      <c r="J7" s="248"/>
      <c r="K7" s="248"/>
      <c r="L7" s="248"/>
      <c r="M7" s="248"/>
      <c r="N7" s="242">
        <f t="shared" ref="N7:N15" si="2">SUM(J7:M7)</f>
        <v>0</v>
      </c>
      <c r="P7" s="231" t="s">
        <v>436</v>
      </c>
      <c r="Q7" s="457">
        <v>10</v>
      </c>
      <c r="R7" s="457">
        <v>67</v>
      </c>
      <c r="S7" s="232">
        <f t="shared" si="0"/>
        <v>77</v>
      </c>
    </row>
    <row r="8" spans="1:19" ht="30">
      <c r="A8" s="241" t="s">
        <v>411</v>
      </c>
      <c r="B8" s="248">
        <v>24</v>
      </c>
      <c r="C8" s="248">
        <v>23</v>
      </c>
      <c r="D8" s="248">
        <v>34</v>
      </c>
      <c r="E8" s="248">
        <v>12</v>
      </c>
      <c r="F8" s="248">
        <v>22</v>
      </c>
      <c r="G8" s="248">
        <v>4</v>
      </c>
      <c r="H8" s="242">
        <f t="shared" si="1"/>
        <v>119</v>
      </c>
      <c r="I8" s="241" t="s">
        <v>411</v>
      </c>
      <c r="J8" s="248">
        <v>17</v>
      </c>
      <c r="K8" s="248">
        <v>3</v>
      </c>
      <c r="L8" s="248">
        <v>11</v>
      </c>
      <c r="M8" s="248">
        <v>8</v>
      </c>
      <c r="N8" s="242">
        <f t="shared" si="2"/>
        <v>39</v>
      </c>
      <c r="P8" s="462" t="s">
        <v>437</v>
      </c>
      <c r="Q8" s="457">
        <v>1</v>
      </c>
      <c r="R8" s="457">
        <v>45</v>
      </c>
      <c r="S8" s="463">
        <f t="shared" si="0"/>
        <v>46</v>
      </c>
    </row>
    <row r="9" spans="1:19" ht="30">
      <c r="A9" s="241" t="s">
        <v>412</v>
      </c>
      <c r="B9" s="248">
        <v>21</v>
      </c>
      <c r="C9" s="248">
        <v>7</v>
      </c>
      <c r="D9" s="248">
        <v>28</v>
      </c>
      <c r="E9" s="248">
        <v>2</v>
      </c>
      <c r="F9" s="248">
        <v>36</v>
      </c>
      <c r="G9" s="248">
        <v>8</v>
      </c>
      <c r="H9" s="242">
        <f t="shared" si="1"/>
        <v>102</v>
      </c>
      <c r="I9" s="241" t="s">
        <v>412</v>
      </c>
      <c r="J9" s="248">
        <v>2</v>
      </c>
      <c r="K9" s="248">
        <v>3</v>
      </c>
      <c r="L9" s="248">
        <v>1</v>
      </c>
      <c r="M9" s="248">
        <v>0</v>
      </c>
      <c r="N9" s="242">
        <f t="shared" si="2"/>
        <v>6</v>
      </c>
      <c r="P9" s="462" t="s">
        <v>438</v>
      </c>
      <c r="Q9" s="457"/>
      <c r="R9" s="457">
        <v>19</v>
      </c>
      <c r="S9" s="463">
        <f t="shared" si="0"/>
        <v>19</v>
      </c>
    </row>
    <row r="10" spans="1:19">
      <c r="A10" s="241" t="s">
        <v>413</v>
      </c>
      <c r="B10" s="248">
        <v>9</v>
      </c>
      <c r="C10" s="248">
        <v>2</v>
      </c>
      <c r="D10" s="248">
        <v>28</v>
      </c>
      <c r="E10" s="248">
        <v>2</v>
      </c>
      <c r="F10" s="248">
        <v>29</v>
      </c>
      <c r="G10" s="248">
        <v>3</v>
      </c>
      <c r="H10" s="242">
        <f t="shared" si="1"/>
        <v>73</v>
      </c>
      <c r="I10" s="241" t="s">
        <v>413</v>
      </c>
      <c r="J10" s="248"/>
      <c r="K10" s="248"/>
      <c r="L10" s="248"/>
      <c r="M10" s="248"/>
      <c r="N10" s="242">
        <f t="shared" si="2"/>
        <v>0</v>
      </c>
      <c r="P10" s="231" t="s">
        <v>439</v>
      </c>
      <c r="Q10" s="457"/>
      <c r="R10" s="457">
        <v>4</v>
      </c>
      <c r="S10" s="232">
        <f t="shared" si="0"/>
        <v>4</v>
      </c>
    </row>
    <row r="11" spans="1:19">
      <c r="A11" s="241" t="s">
        <v>414</v>
      </c>
      <c r="B11" s="248">
        <v>19</v>
      </c>
      <c r="C11" s="248">
        <v>5</v>
      </c>
      <c r="D11" s="248">
        <v>4</v>
      </c>
      <c r="E11" s="248"/>
      <c r="F11" s="248"/>
      <c r="G11" s="248"/>
      <c r="H11" s="242">
        <f t="shared" si="1"/>
        <v>28</v>
      </c>
      <c r="I11" s="241" t="s">
        <v>414</v>
      </c>
      <c r="J11" s="248"/>
      <c r="K11" s="248"/>
      <c r="L11" s="248"/>
      <c r="M11" s="248"/>
      <c r="N11" s="242">
        <f t="shared" si="2"/>
        <v>0</v>
      </c>
      <c r="P11" s="231" t="s">
        <v>661</v>
      </c>
      <c r="Q11" s="457">
        <v>7</v>
      </c>
      <c r="R11" s="457">
        <v>11</v>
      </c>
      <c r="S11" s="232">
        <f t="shared" si="0"/>
        <v>18</v>
      </c>
    </row>
    <row r="12" spans="1:19">
      <c r="A12" s="241" t="s">
        <v>415</v>
      </c>
      <c r="B12" s="248">
        <v>14</v>
      </c>
      <c r="C12" s="248"/>
      <c r="D12" s="248">
        <v>6</v>
      </c>
      <c r="E12" s="248"/>
      <c r="F12" s="248">
        <v>5</v>
      </c>
      <c r="G12" s="248"/>
      <c r="H12" s="242">
        <f t="shared" si="1"/>
        <v>25</v>
      </c>
      <c r="I12" s="241" t="s">
        <v>415</v>
      </c>
      <c r="J12" s="248"/>
      <c r="K12" s="248"/>
      <c r="L12" s="248">
        <v>1</v>
      </c>
      <c r="M12" s="248">
        <v>1</v>
      </c>
      <c r="N12" s="242">
        <f t="shared" si="2"/>
        <v>2</v>
      </c>
      <c r="P12" s="231" t="s">
        <v>440</v>
      </c>
      <c r="Q12" s="457">
        <v>2</v>
      </c>
      <c r="R12" s="457">
        <v>5</v>
      </c>
      <c r="S12" s="232">
        <f t="shared" si="0"/>
        <v>7</v>
      </c>
    </row>
    <row r="13" spans="1:19">
      <c r="A13" s="241" t="s">
        <v>416</v>
      </c>
      <c r="B13" s="248">
        <v>2</v>
      </c>
      <c r="C13" s="248"/>
      <c r="D13" s="248">
        <v>2</v>
      </c>
      <c r="E13" s="248">
        <v>2</v>
      </c>
      <c r="F13" s="248">
        <v>7</v>
      </c>
      <c r="G13" s="248">
        <v>15</v>
      </c>
      <c r="H13" s="242">
        <f t="shared" si="1"/>
        <v>28</v>
      </c>
      <c r="I13" s="241" t="s">
        <v>416</v>
      </c>
      <c r="J13" s="248">
        <v>1</v>
      </c>
      <c r="K13" s="248"/>
      <c r="L13" s="248"/>
      <c r="M13" s="248"/>
      <c r="N13" s="242">
        <f t="shared" si="2"/>
        <v>1</v>
      </c>
      <c r="P13" s="231" t="s">
        <v>441</v>
      </c>
      <c r="Q13" s="457"/>
      <c r="R13" s="457">
        <v>14</v>
      </c>
      <c r="S13" s="232">
        <f t="shared" si="0"/>
        <v>14</v>
      </c>
    </row>
    <row r="14" spans="1:19">
      <c r="A14" s="241" t="s">
        <v>417</v>
      </c>
      <c r="B14" s="248">
        <v>50</v>
      </c>
      <c r="C14" s="248">
        <v>29</v>
      </c>
      <c r="D14" s="248">
        <v>58</v>
      </c>
      <c r="E14" s="248">
        <v>22</v>
      </c>
      <c r="F14" s="248">
        <v>51</v>
      </c>
      <c r="G14" s="248">
        <v>26</v>
      </c>
      <c r="H14" s="242">
        <f t="shared" si="1"/>
        <v>236</v>
      </c>
      <c r="I14" s="241" t="s">
        <v>417</v>
      </c>
      <c r="J14" s="248">
        <v>19</v>
      </c>
      <c r="K14" s="248">
        <v>7</v>
      </c>
      <c r="L14" s="248">
        <v>8</v>
      </c>
      <c r="M14" s="248">
        <v>3</v>
      </c>
      <c r="N14" s="242">
        <f t="shared" si="2"/>
        <v>37</v>
      </c>
      <c r="P14" s="231" t="s">
        <v>442</v>
      </c>
      <c r="Q14" s="457">
        <v>9</v>
      </c>
      <c r="R14" s="457">
        <v>35</v>
      </c>
      <c r="S14" s="232">
        <f t="shared" si="0"/>
        <v>44</v>
      </c>
    </row>
    <row r="15" spans="1:19">
      <c r="A15" s="241" t="s">
        <v>418</v>
      </c>
      <c r="B15" s="248">
        <v>2</v>
      </c>
      <c r="C15" s="248"/>
      <c r="D15" s="248">
        <v>2</v>
      </c>
      <c r="E15" s="248"/>
      <c r="F15" s="248"/>
      <c r="G15" s="248"/>
      <c r="H15" s="242">
        <f t="shared" si="1"/>
        <v>4</v>
      </c>
      <c r="I15" s="241" t="s">
        <v>418</v>
      </c>
      <c r="J15" s="248">
        <v>10</v>
      </c>
      <c r="K15" s="248">
        <v>10</v>
      </c>
      <c r="L15" s="248">
        <v>1</v>
      </c>
      <c r="M15" s="248">
        <v>0</v>
      </c>
      <c r="N15" s="242">
        <f t="shared" si="2"/>
        <v>21</v>
      </c>
      <c r="P15" s="231" t="s">
        <v>443</v>
      </c>
      <c r="Q15" s="457"/>
      <c r="R15" s="457">
        <v>20</v>
      </c>
      <c r="S15" s="232">
        <f t="shared" si="0"/>
        <v>20</v>
      </c>
    </row>
    <row r="16" spans="1:19">
      <c r="A16" s="243" t="s">
        <v>419</v>
      </c>
      <c r="B16" s="243">
        <f t="shared" ref="B16:G16" si="3">SUM(B7:B15)</f>
        <v>155</v>
      </c>
      <c r="C16" s="243">
        <f t="shared" si="3"/>
        <v>67</v>
      </c>
      <c r="D16" s="243">
        <f t="shared" si="3"/>
        <v>173</v>
      </c>
      <c r="E16" s="243">
        <f t="shared" si="3"/>
        <v>41</v>
      </c>
      <c r="F16" s="243">
        <f t="shared" si="3"/>
        <v>173</v>
      </c>
      <c r="G16" s="243">
        <f t="shared" si="3"/>
        <v>56</v>
      </c>
      <c r="H16" s="242"/>
      <c r="I16" s="243" t="s">
        <v>419</v>
      </c>
      <c r="J16" s="243">
        <f>SUM(J7:J15)</f>
        <v>49</v>
      </c>
      <c r="K16" s="243">
        <f>SUM(K7:K15)</f>
        <v>23</v>
      </c>
      <c r="L16" s="243">
        <f>SUM(L7:L15)</f>
        <v>22</v>
      </c>
      <c r="M16" s="243">
        <f>SUM(M7:M15)</f>
        <v>12</v>
      </c>
      <c r="N16" s="242"/>
      <c r="P16" s="232" t="s">
        <v>9</v>
      </c>
      <c r="Q16" s="232">
        <f>SUM(Q5:Q15)</f>
        <v>40</v>
      </c>
      <c r="R16" s="232">
        <f>SUM(R5:R15)</f>
        <v>307</v>
      </c>
      <c r="S16" s="232">
        <f>SUM(S5:S15)</f>
        <v>347</v>
      </c>
    </row>
    <row r="17" spans="1:16">
      <c r="A17" s="242" t="s">
        <v>420</v>
      </c>
      <c r="B17" s="244">
        <f>B16+C16</f>
        <v>222</v>
      </c>
      <c r="C17" s="244"/>
      <c r="D17" s="244">
        <f>D16+E16</f>
        <v>214</v>
      </c>
      <c r="E17" s="244"/>
      <c r="F17" s="244">
        <f>F16+G16</f>
        <v>229</v>
      </c>
      <c r="G17" s="244"/>
      <c r="H17" s="242">
        <f>SUM(B17:G17)</f>
        <v>665</v>
      </c>
      <c r="I17" s="242" t="s">
        <v>420</v>
      </c>
      <c r="J17" s="244">
        <f>J16+K16</f>
        <v>72</v>
      </c>
      <c r="K17" s="244"/>
      <c r="L17" s="244">
        <f>L16+M16</f>
        <v>34</v>
      </c>
      <c r="M17" s="244"/>
      <c r="N17" s="242">
        <f>SUM(J17:M17)</f>
        <v>106</v>
      </c>
    </row>
    <row r="18" spans="1:16">
      <c r="A18" s="238"/>
      <c r="B18" s="238"/>
      <c r="C18" s="238"/>
      <c r="D18" s="238"/>
      <c r="E18" s="238"/>
      <c r="F18" s="238"/>
      <c r="G18" s="238"/>
      <c r="H18" s="238"/>
    </row>
    <row r="19" spans="1:16">
      <c r="A19" s="238" t="s">
        <v>423</v>
      </c>
      <c r="B19" s="238"/>
      <c r="C19" s="238"/>
      <c r="D19" s="238"/>
      <c r="E19" s="238"/>
      <c r="F19" s="238"/>
      <c r="G19" s="238"/>
      <c r="H19" s="238"/>
      <c r="I19" t="s">
        <v>423</v>
      </c>
    </row>
    <row r="20" spans="1:16">
      <c r="A20" s="238"/>
      <c r="B20" s="238"/>
      <c r="C20" s="238"/>
      <c r="D20" s="238"/>
      <c r="E20" s="238"/>
      <c r="F20" s="238"/>
      <c r="G20" s="238"/>
      <c r="H20" s="238"/>
    </row>
    <row r="21" spans="1:16">
      <c r="A21" s="641" t="s">
        <v>404</v>
      </c>
      <c r="B21" s="240" t="s">
        <v>405</v>
      </c>
      <c r="C21" s="240"/>
      <c r="D21" s="240" t="s">
        <v>406</v>
      </c>
      <c r="E21" s="240"/>
      <c r="F21" s="240" t="s">
        <v>407</v>
      </c>
      <c r="G21" s="240"/>
      <c r="H21" s="637" t="s">
        <v>9</v>
      </c>
      <c r="I21" s="641" t="s">
        <v>404</v>
      </c>
      <c r="J21" s="240" t="s">
        <v>106</v>
      </c>
      <c r="K21" s="240"/>
      <c r="L21" s="240" t="s">
        <v>27</v>
      </c>
      <c r="M21" s="240"/>
      <c r="N21" s="637" t="s">
        <v>9</v>
      </c>
    </row>
    <row r="22" spans="1:16">
      <c r="A22" s="641"/>
      <c r="B22" s="239" t="s">
        <v>408</v>
      </c>
      <c r="C22" s="239" t="s">
        <v>409</v>
      </c>
      <c r="D22" s="239" t="s">
        <v>408</v>
      </c>
      <c r="E22" s="239" t="s">
        <v>409</v>
      </c>
      <c r="F22" s="239" t="s">
        <v>408</v>
      </c>
      <c r="G22" s="239" t="s">
        <v>409</v>
      </c>
      <c r="H22" s="637"/>
      <c r="I22" s="641"/>
      <c r="J22" s="239" t="s">
        <v>408</v>
      </c>
      <c r="K22" s="239" t="s">
        <v>409</v>
      </c>
      <c r="L22" s="239" t="s">
        <v>408</v>
      </c>
      <c r="M22" s="239" t="s">
        <v>409</v>
      </c>
      <c r="N22" s="637"/>
    </row>
    <row r="23" spans="1:16">
      <c r="A23" s="241" t="s">
        <v>410</v>
      </c>
      <c r="B23" s="248">
        <v>104</v>
      </c>
      <c r="C23" s="248">
        <v>6</v>
      </c>
      <c r="D23" s="248">
        <v>67</v>
      </c>
      <c r="E23" s="248">
        <v>5.9999999999999973</v>
      </c>
      <c r="F23" s="248">
        <v>147</v>
      </c>
      <c r="G23" s="248"/>
      <c r="H23" s="461">
        <f t="shared" ref="H23:H31" si="4">SUM(B23:G23)</f>
        <v>330</v>
      </c>
      <c r="I23" s="241" t="s">
        <v>410</v>
      </c>
      <c r="J23" s="530"/>
      <c r="K23" s="530"/>
      <c r="L23" s="530"/>
      <c r="M23" s="530"/>
      <c r="N23" s="461">
        <f t="shared" ref="N23:N31" si="5">SUM(J23:M23)</f>
        <v>0</v>
      </c>
    </row>
    <row r="24" spans="1:16" ht="30">
      <c r="A24" s="241" t="s">
        <v>411</v>
      </c>
      <c r="B24" s="530">
        <v>204.5</v>
      </c>
      <c r="C24" s="530">
        <v>87.5</v>
      </c>
      <c r="D24" s="530">
        <v>218.5</v>
      </c>
      <c r="E24" s="248">
        <v>36</v>
      </c>
      <c r="F24" s="248">
        <v>154</v>
      </c>
      <c r="G24" s="248">
        <v>15</v>
      </c>
      <c r="H24" s="461">
        <f t="shared" si="4"/>
        <v>715.5</v>
      </c>
      <c r="I24" s="241" t="s">
        <v>411</v>
      </c>
      <c r="J24" s="530">
        <v>138</v>
      </c>
      <c r="K24" s="530">
        <v>13</v>
      </c>
      <c r="L24" s="530">
        <v>103</v>
      </c>
      <c r="M24" s="530">
        <v>47.5</v>
      </c>
      <c r="N24" s="461">
        <f t="shared" si="5"/>
        <v>301.5</v>
      </c>
      <c r="P24" s="458"/>
    </row>
    <row r="25" spans="1:16" ht="30">
      <c r="A25" s="241" t="s">
        <v>412</v>
      </c>
      <c r="B25" s="530">
        <v>328</v>
      </c>
      <c r="C25" s="530">
        <v>101</v>
      </c>
      <c r="D25" s="248">
        <v>359</v>
      </c>
      <c r="E25" s="248">
        <v>24</v>
      </c>
      <c r="F25" s="248">
        <v>581</v>
      </c>
      <c r="G25" s="248">
        <v>92.5</v>
      </c>
      <c r="H25" s="461">
        <f t="shared" si="4"/>
        <v>1485.5</v>
      </c>
      <c r="I25" s="241" t="s">
        <v>412</v>
      </c>
      <c r="J25" s="530">
        <v>37</v>
      </c>
      <c r="K25" s="530">
        <v>26</v>
      </c>
      <c r="L25" s="530">
        <v>8</v>
      </c>
      <c r="M25" s="530"/>
      <c r="N25" s="461">
        <f t="shared" si="5"/>
        <v>71</v>
      </c>
    </row>
    <row r="26" spans="1:16">
      <c r="A26" s="241" t="s">
        <v>413</v>
      </c>
      <c r="B26" s="530">
        <v>43</v>
      </c>
      <c r="C26" s="530">
        <v>12</v>
      </c>
      <c r="D26" s="248">
        <v>183</v>
      </c>
      <c r="E26" s="248">
        <v>18</v>
      </c>
      <c r="F26" s="248">
        <v>193</v>
      </c>
      <c r="G26" s="248">
        <v>21.5</v>
      </c>
      <c r="H26" s="461">
        <f t="shared" si="4"/>
        <v>470.5</v>
      </c>
      <c r="I26" s="241" t="s">
        <v>413</v>
      </c>
      <c r="J26" s="530"/>
      <c r="K26" s="530"/>
      <c r="L26" s="530"/>
      <c r="M26" s="530"/>
      <c r="N26" s="461">
        <f t="shared" si="5"/>
        <v>0</v>
      </c>
    </row>
    <row r="27" spans="1:16">
      <c r="A27" s="241" t="s">
        <v>414</v>
      </c>
      <c r="B27" s="530">
        <v>578</v>
      </c>
      <c r="C27" s="530">
        <v>184</v>
      </c>
      <c r="D27" s="248">
        <v>224</v>
      </c>
      <c r="E27" s="248"/>
      <c r="F27" s="248"/>
      <c r="G27" s="248"/>
      <c r="H27" s="461">
        <f t="shared" si="4"/>
        <v>986</v>
      </c>
      <c r="I27" s="241" t="s">
        <v>414</v>
      </c>
      <c r="J27" s="530">
        <v>112</v>
      </c>
      <c r="K27" s="530">
        <v>86</v>
      </c>
      <c r="L27" s="530"/>
      <c r="M27" s="530"/>
      <c r="N27" s="461">
        <f t="shared" si="5"/>
        <v>198</v>
      </c>
    </row>
    <row r="28" spans="1:16">
      <c r="A28" s="241" t="s">
        <v>415</v>
      </c>
      <c r="B28" s="530">
        <v>73.5</v>
      </c>
      <c r="C28" s="530"/>
      <c r="D28" s="248">
        <v>54</v>
      </c>
      <c r="E28" s="248"/>
      <c r="F28" s="248">
        <v>36</v>
      </c>
      <c r="G28" s="248"/>
      <c r="H28" s="461">
        <f t="shared" si="4"/>
        <v>163.5</v>
      </c>
      <c r="I28" s="241" t="s">
        <v>415</v>
      </c>
      <c r="J28" s="530"/>
      <c r="K28" s="530"/>
      <c r="L28" s="530">
        <v>12</v>
      </c>
      <c r="M28" s="530"/>
      <c r="N28" s="461">
        <f t="shared" si="5"/>
        <v>12</v>
      </c>
      <c r="P28" s="458"/>
    </row>
    <row r="29" spans="1:16">
      <c r="A29" s="241" t="s">
        <v>416</v>
      </c>
      <c r="B29" s="530">
        <v>34</v>
      </c>
      <c r="C29" s="530"/>
      <c r="D29" s="248">
        <v>12</v>
      </c>
      <c r="E29" s="248">
        <v>12</v>
      </c>
      <c r="F29" s="248">
        <v>39</v>
      </c>
      <c r="G29" s="248">
        <v>90</v>
      </c>
      <c r="H29" s="461">
        <f t="shared" si="4"/>
        <v>187</v>
      </c>
      <c r="I29" s="241" t="s">
        <v>416</v>
      </c>
      <c r="J29" s="530">
        <v>6</v>
      </c>
      <c r="K29" s="530"/>
      <c r="L29" s="530"/>
      <c r="M29" s="530"/>
      <c r="N29" s="461">
        <f t="shared" si="5"/>
        <v>6</v>
      </c>
    </row>
    <row r="30" spans="1:16">
      <c r="A30" s="241" t="s">
        <v>417</v>
      </c>
      <c r="B30" s="530">
        <v>399.5</v>
      </c>
      <c r="C30" s="530">
        <v>307.5</v>
      </c>
      <c r="D30" s="248">
        <v>351</v>
      </c>
      <c r="E30" s="248">
        <v>228</v>
      </c>
      <c r="F30" s="248">
        <v>324</v>
      </c>
      <c r="G30" s="248">
        <v>398</v>
      </c>
      <c r="H30" s="461">
        <f t="shared" si="4"/>
        <v>2008</v>
      </c>
      <c r="I30" s="241" t="s">
        <v>417</v>
      </c>
      <c r="J30" s="530">
        <v>122</v>
      </c>
      <c r="K30" s="530">
        <v>55</v>
      </c>
      <c r="L30" s="530">
        <v>48</v>
      </c>
      <c r="M30" s="530">
        <v>37</v>
      </c>
      <c r="N30" s="461">
        <f t="shared" si="5"/>
        <v>262</v>
      </c>
    </row>
    <row r="31" spans="1:16">
      <c r="A31" s="241" t="s">
        <v>418</v>
      </c>
      <c r="B31" s="530">
        <v>3</v>
      </c>
      <c r="C31" s="530"/>
      <c r="D31" s="248">
        <v>3.5</v>
      </c>
      <c r="E31" s="248"/>
      <c r="F31" s="248"/>
      <c r="G31" s="248"/>
      <c r="H31" s="461">
        <f t="shared" si="4"/>
        <v>6.5</v>
      </c>
      <c r="I31" s="241" t="s">
        <v>418</v>
      </c>
      <c r="J31" s="530">
        <v>172</v>
      </c>
      <c r="K31" s="530">
        <v>157</v>
      </c>
      <c r="L31" s="530">
        <v>2</v>
      </c>
      <c r="M31" s="530"/>
      <c r="N31" s="461">
        <f t="shared" si="5"/>
        <v>331</v>
      </c>
    </row>
    <row r="32" spans="1:16">
      <c r="A32" s="243" t="s">
        <v>419</v>
      </c>
      <c r="B32" s="459">
        <f t="shared" ref="B32:G32" si="6">SUM(B23:B31)</f>
        <v>1767.5</v>
      </c>
      <c r="C32" s="459">
        <f t="shared" si="6"/>
        <v>698</v>
      </c>
      <c r="D32" s="243">
        <f t="shared" si="6"/>
        <v>1472</v>
      </c>
      <c r="E32" s="243">
        <f t="shared" si="6"/>
        <v>324</v>
      </c>
      <c r="F32" s="243">
        <f t="shared" si="6"/>
        <v>1474</v>
      </c>
      <c r="G32" s="243">
        <f t="shared" si="6"/>
        <v>617</v>
      </c>
      <c r="H32" s="461"/>
      <c r="I32" s="243" t="s">
        <v>419</v>
      </c>
      <c r="J32" s="459">
        <f>SUM(J23:J31)</f>
        <v>587</v>
      </c>
      <c r="K32" s="459">
        <f>SUM(K23:K31)</f>
        <v>337</v>
      </c>
      <c r="L32" s="459">
        <f>SUM(L23:L31)</f>
        <v>173</v>
      </c>
      <c r="M32" s="459">
        <f>SUM(M23:M31)</f>
        <v>84.5</v>
      </c>
      <c r="N32" s="461"/>
    </row>
    <row r="33" spans="1:14">
      <c r="A33" s="242" t="s">
        <v>420</v>
      </c>
      <c r="B33" s="460">
        <f>B32+C32</f>
        <v>2465.5</v>
      </c>
      <c r="C33" s="460"/>
      <c r="D33" s="244">
        <f>D32+E32</f>
        <v>1796</v>
      </c>
      <c r="E33" s="244"/>
      <c r="F33" s="244">
        <f>F32+G32</f>
        <v>2091</v>
      </c>
      <c r="G33" s="244"/>
      <c r="H33" s="461">
        <f>SUM(B33:G33)</f>
        <v>6352.5</v>
      </c>
      <c r="I33" s="242" t="s">
        <v>420</v>
      </c>
      <c r="J33" s="460">
        <f>J32+K32</f>
        <v>924</v>
      </c>
      <c r="K33" s="460"/>
      <c r="L33" s="460">
        <f>L32+M32</f>
        <v>257.5</v>
      </c>
      <c r="M33" s="460"/>
      <c r="N33" s="461">
        <f>SUM(J33:M33)</f>
        <v>1181.5</v>
      </c>
    </row>
  </sheetData>
  <mergeCells count="8">
    <mergeCell ref="N5:N6"/>
    <mergeCell ref="I21:I22"/>
    <mergeCell ref="N21:N22"/>
    <mergeCell ref="A5:A6"/>
    <mergeCell ref="H5:H6"/>
    <mergeCell ref="A21:A22"/>
    <mergeCell ref="H21:H22"/>
    <mergeCell ref="I5:I6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&amp;C&amp;"-,Gras"Chapitre II - Parcours professionnel
1.1 Formations détails</oddHeader>
    <oddFooter>&amp;C&amp;"-,Gras"Base de Données Sociales 2023&amp;R&amp;P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C651-629D-411A-A813-151323188521}">
  <sheetPr codeName="Feuil10">
    <tabColor rgb="FF92D050"/>
  </sheetPr>
  <dimension ref="A1:M99"/>
  <sheetViews>
    <sheetView showGridLines="0" view="pageLayout" zoomScale="70" zoomScaleNormal="100" zoomScalePageLayoutView="70" workbookViewId="0">
      <selection activeCell="F55" sqref="F55"/>
    </sheetView>
  </sheetViews>
  <sheetFormatPr baseColWidth="10" defaultRowHeight="15"/>
  <cols>
    <col min="1" max="1" width="17.7109375" bestFit="1" customWidth="1"/>
    <col min="2" max="2" width="11.7109375" customWidth="1"/>
    <col min="3" max="3" width="17.85546875" customWidth="1"/>
    <col min="4" max="4" width="17.85546875" bestFit="1" customWidth="1"/>
    <col min="5" max="5" width="16.28515625" customWidth="1"/>
    <col min="6" max="6" width="13.85546875" bestFit="1" customWidth="1"/>
    <col min="7" max="7" width="6.5703125" customWidth="1"/>
    <col min="8" max="8" width="25.140625" customWidth="1"/>
    <col min="9" max="9" width="8.85546875" bestFit="1" customWidth="1"/>
    <col min="10" max="10" width="16.28515625" style="233" bestFit="1" customWidth="1"/>
    <col min="11" max="11" width="16.28515625" style="421" customWidth="1"/>
    <col min="12" max="12" width="16.42578125" style="233" customWidth="1"/>
    <col min="13" max="13" width="14" style="233" customWidth="1"/>
    <col min="14" max="14" width="6" customWidth="1"/>
    <col min="15" max="15" width="17.7109375" customWidth="1"/>
    <col min="16" max="16" width="14.85546875" customWidth="1"/>
    <col min="17" max="17" width="14" customWidth="1"/>
    <col min="18" max="18" width="15.42578125" customWidth="1"/>
    <col min="19" max="19" width="13.5703125" customWidth="1"/>
  </cols>
  <sheetData>
    <row r="1" spans="1:13" ht="15.75">
      <c r="A1" s="13" t="s">
        <v>229</v>
      </c>
    </row>
    <row r="2" spans="1:13">
      <c r="A2" t="s">
        <v>252</v>
      </c>
      <c r="H2" t="s">
        <v>253</v>
      </c>
    </row>
    <row r="3" spans="1:13" ht="45" customHeight="1">
      <c r="C3" s="419" t="s">
        <v>230</v>
      </c>
      <c r="D3" s="420" t="s">
        <v>641</v>
      </c>
      <c r="E3" s="109" t="s">
        <v>231</v>
      </c>
      <c r="F3" s="110" t="s">
        <v>232</v>
      </c>
      <c r="J3" s="236" t="s">
        <v>230</v>
      </c>
      <c r="K3" s="420" t="s">
        <v>641</v>
      </c>
      <c r="L3" s="236" t="s">
        <v>231</v>
      </c>
      <c r="M3" s="237" t="s">
        <v>232</v>
      </c>
    </row>
    <row r="4" spans="1:13" ht="15" customHeight="1">
      <c r="A4" s="643" t="s">
        <v>233</v>
      </c>
      <c r="B4" s="108" t="s">
        <v>24</v>
      </c>
      <c r="C4" s="421">
        <v>36</v>
      </c>
      <c r="D4" s="226">
        <v>7</v>
      </c>
      <c r="E4" s="226"/>
      <c r="F4" s="107">
        <f>E4/C4</f>
        <v>0</v>
      </c>
      <c r="H4" s="644" t="s">
        <v>444</v>
      </c>
      <c r="I4" s="108" t="s">
        <v>24</v>
      </c>
      <c r="J4" s="233">
        <v>1</v>
      </c>
      <c r="M4" s="258">
        <f t="shared" ref="M4:M22" si="0">L4/J4</f>
        <v>0</v>
      </c>
    </row>
    <row r="5" spans="1:13">
      <c r="A5" s="643"/>
      <c r="B5" s="108" t="s">
        <v>25</v>
      </c>
      <c r="C5" s="421">
        <v>28</v>
      </c>
      <c r="D5" s="226">
        <v>5</v>
      </c>
      <c r="E5" s="226"/>
      <c r="F5" s="107">
        <f t="shared" ref="F5:F16" si="1">E5/C5</f>
        <v>0</v>
      </c>
      <c r="H5" s="644"/>
      <c r="I5" s="108" t="s">
        <v>25</v>
      </c>
      <c r="J5" s="233">
        <v>1</v>
      </c>
      <c r="K5" s="421">
        <v>1</v>
      </c>
      <c r="M5" s="258">
        <f t="shared" si="0"/>
        <v>0</v>
      </c>
    </row>
    <row r="6" spans="1:13">
      <c r="A6" s="618" t="s">
        <v>9</v>
      </c>
      <c r="B6" s="618"/>
      <c r="C6" s="417">
        <f>SUM(C4:C5)</f>
        <v>64</v>
      </c>
      <c r="D6" s="229">
        <f>SUM(D4:D5)</f>
        <v>12</v>
      </c>
      <c r="E6" s="229">
        <f t="shared" ref="E6" si="2">SUM(E4:E5)</f>
        <v>0</v>
      </c>
      <c r="F6" s="112">
        <f t="shared" si="1"/>
        <v>0</v>
      </c>
      <c r="H6" s="113" t="s">
        <v>9</v>
      </c>
      <c r="I6" s="113"/>
      <c r="J6" s="234">
        <f t="shared" ref="J6" si="3">SUM(J4:J5)</f>
        <v>2</v>
      </c>
      <c r="K6" s="417">
        <f t="shared" ref="K6:L6" si="4">SUM(K4:K5)</f>
        <v>1</v>
      </c>
      <c r="L6" s="234">
        <f t="shared" si="4"/>
        <v>0</v>
      </c>
      <c r="M6" s="259">
        <f t="shared" si="0"/>
        <v>0</v>
      </c>
    </row>
    <row r="7" spans="1:13" ht="15" customHeight="1">
      <c r="A7" s="643" t="s">
        <v>234</v>
      </c>
      <c r="B7" s="108" t="s">
        <v>24</v>
      </c>
      <c r="C7" s="421">
        <v>10</v>
      </c>
      <c r="D7" s="226">
        <v>4</v>
      </c>
      <c r="E7" s="226"/>
      <c r="F7" s="107">
        <f t="shared" si="1"/>
        <v>0</v>
      </c>
      <c r="H7" s="644" t="s">
        <v>247</v>
      </c>
      <c r="I7" s="108" t="s">
        <v>24</v>
      </c>
      <c r="J7" s="233">
        <v>14</v>
      </c>
      <c r="K7" s="421">
        <v>3</v>
      </c>
      <c r="L7" s="233">
        <v>1</v>
      </c>
      <c r="M7" s="258">
        <f t="shared" si="0"/>
        <v>7.1428571428571425E-2</v>
      </c>
    </row>
    <row r="8" spans="1:13">
      <c r="A8" s="643"/>
      <c r="B8" s="108" t="s">
        <v>25</v>
      </c>
      <c r="C8" s="421">
        <v>11</v>
      </c>
      <c r="D8" s="226">
        <v>2</v>
      </c>
      <c r="E8" s="226">
        <v>1</v>
      </c>
      <c r="F8" s="107">
        <f t="shared" si="1"/>
        <v>9.0909090909090912E-2</v>
      </c>
      <c r="H8" s="644"/>
      <c r="I8" s="108" t="s">
        <v>25</v>
      </c>
      <c r="J8" s="233">
        <v>11</v>
      </c>
      <c r="K8" s="421">
        <v>7</v>
      </c>
      <c r="L8" s="233">
        <v>2</v>
      </c>
      <c r="M8" s="258">
        <f t="shared" si="0"/>
        <v>0.18181818181818182</v>
      </c>
    </row>
    <row r="9" spans="1:13">
      <c r="A9" s="618" t="s">
        <v>9</v>
      </c>
      <c r="B9" s="618"/>
      <c r="C9" s="417">
        <f>SUM(C7:C8)</f>
        <v>21</v>
      </c>
      <c r="D9" s="229">
        <f>SUM(D7:D8)</f>
        <v>6</v>
      </c>
      <c r="E9" s="229">
        <f t="shared" ref="E9" si="5">SUM(E7:E8)</f>
        <v>1</v>
      </c>
      <c r="F9" s="112">
        <f t="shared" si="1"/>
        <v>4.7619047619047616E-2</v>
      </c>
      <c r="H9" s="113" t="s">
        <v>9</v>
      </c>
      <c r="I9" s="113"/>
      <c r="J9" s="234">
        <f t="shared" ref="J9:L9" si="6">SUM(J7:J8)</f>
        <v>25</v>
      </c>
      <c r="K9" s="417">
        <f t="shared" si="6"/>
        <v>10</v>
      </c>
      <c r="L9" s="234">
        <f t="shared" si="6"/>
        <v>3</v>
      </c>
      <c r="M9" s="259">
        <f t="shared" si="0"/>
        <v>0.12</v>
      </c>
    </row>
    <row r="10" spans="1:13" ht="15" customHeight="1">
      <c r="A10" s="643" t="s">
        <v>235</v>
      </c>
      <c r="B10" s="108" t="s">
        <v>24</v>
      </c>
      <c r="C10" s="421">
        <v>59</v>
      </c>
      <c r="D10" s="226">
        <v>13</v>
      </c>
      <c r="E10" s="226">
        <v>1</v>
      </c>
      <c r="F10" s="107">
        <f t="shared" si="1"/>
        <v>1.6949152542372881E-2</v>
      </c>
      <c r="H10" s="644" t="s">
        <v>248</v>
      </c>
      <c r="I10" s="108" t="s">
        <v>24</v>
      </c>
      <c r="J10" s="233">
        <v>16</v>
      </c>
      <c r="K10" s="421">
        <v>9</v>
      </c>
      <c r="L10" s="233">
        <v>1</v>
      </c>
      <c r="M10" s="258">
        <f t="shared" si="0"/>
        <v>6.25E-2</v>
      </c>
    </row>
    <row r="11" spans="1:13">
      <c r="A11" s="643"/>
      <c r="B11" s="108" t="s">
        <v>25</v>
      </c>
      <c r="C11" s="421">
        <v>26</v>
      </c>
      <c r="D11" s="226">
        <v>7</v>
      </c>
      <c r="E11" s="226"/>
      <c r="F11" s="107">
        <f t="shared" si="1"/>
        <v>0</v>
      </c>
      <c r="H11" s="644"/>
      <c r="I11" s="108" t="s">
        <v>25</v>
      </c>
      <c r="J11" s="233">
        <v>3</v>
      </c>
      <c r="K11" s="421">
        <v>1</v>
      </c>
      <c r="M11" s="258">
        <f t="shared" si="0"/>
        <v>0</v>
      </c>
    </row>
    <row r="12" spans="1:13">
      <c r="A12" s="618" t="s">
        <v>9</v>
      </c>
      <c r="B12" s="618"/>
      <c r="C12" s="417">
        <f>SUM(C10:C11)</f>
        <v>85</v>
      </c>
      <c r="D12" s="229">
        <f>SUM(D10:D11)</f>
        <v>20</v>
      </c>
      <c r="E12" s="229">
        <f t="shared" ref="E12" si="7">SUM(E10:E11)</f>
        <v>1</v>
      </c>
      <c r="F12" s="112">
        <f t="shared" si="1"/>
        <v>1.1764705882352941E-2</v>
      </c>
      <c r="H12" s="113" t="s">
        <v>9</v>
      </c>
      <c r="I12" s="113"/>
      <c r="J12" s="234">
        <f t="shared" ref="J12:L12" si="8">SUM(J10:J11)</f>
        <v>19</v>
      </c>
      <c r="K12" s="417">
        <f t="shared" si="8"/>
        <v>10</v>
      </c>
      <c r="L12" s="234">
        <f t="shared" si="8"/>
        <v>1</v>
      </c>
      <c r="M12" s="259">
        <f t="shared" si="0"/>
        <v>5.2631578947368418E-2</v>
      </c>
    </row>
    <row r="13" spans="1:13" ht="15" customHeight="1">
      <c r="A13" s="643" t="s">
        <v>236</v>
      </c>
      <c r="B13" s="108" t="s">
        <v>24</v>
      </c>
      <c r="C13" s="421">
        <v>51</v>
      </c>
      <c r="D13" s="226">
        <v>19</v>
      </c>
      <c r="E13" s="226">
        <v>2</v>
      </c>
      <c r="F13" s="107">
        <f t="shared" si="1"/>
        <v>3.9215686274509803E-2</v>
      </c>
      <c r="H13" s="644" t="s">
        <v>249</v>
      </c>
      <c r="I13" s="108" t="s">
        <v>24</v>
      </c>
      <c r="J13" s="233">
        <v>28</v>
      </c>
      <c r="K13" s="421">
        <v>1</v>
      </c>
      <c r="M13" s="258">
        <f t="shared" si="0"/>
        <v>0</v>
      </c>
    </row>
    <row r="14" spans="1:13">
      <c r="A14" s="643"/>
      <c r="B14" s="108" t="s">
        <v>25</v>
      </c>
      <c r="C14" s="421">
        <v>21</v>
      </c>
      <c r="D14" s="226">
        <v>6</v>
      </c>
      <c r="E14" s="226"/>
      <c r="F14" s="107">
        <f t="shared" si="1"/>
        <v>0</v>
      </c>
      <c r="H14" s="644"/>
      <c r="I14" s="108" t="s">
        <v>25</v>
      </c>
      <c r="J14" s="233">
        <v>16</v>
      </c>
      <c r="M14" s="258">
        <f t="shared" si="0"/>
        <v>0</v>
      </c>
    </row>
    <row r="15" spans="1:13">
      <c r="A15" s="618" t="s">
        <v>9</v>
      </c>
      <c r="B15" s="618"/>
      <c r="C15" s="417">
        <f>SUM(C13:C14)</f>
        <v>72</v>
      </c>
      <c r="D15" s="229">
        <f>SUM(D13:D14)</f>
        <v>25</v>
      </c>
      <c r="E15" s="229">
        <f t="shared" ref="E15" si="9">SUM(E13:E14)</f>
        <v>2</v>
      </c>
      <c r="F15" s="112">
        <f t="shared" si="1"/>
        <v>2.7777777777777776E-2</v>
      </c>
      <c r="H15" s="113" t="s">
        <v>9</v>
      </c>
      <c r="I15" s="113"/>
      <c r="J15" s="234">
        <f t="shared" ref="J15:L15" si="10">SUM(J13:J14)</f>
        <v>44</v>
      </c>
      <c r="K15" s="417">
        <f t="shared" si="10"/>
        <v>1</v>
      </c>
      <c r="L15" s="234">
        <f t="shared" si="10"/>
        <v>0</v>
      </c>
      <c r="M15" s="259">
        <f t="shared" si="0"/>
        <v>0</v>
      </c>
    </row>
    <row r="16" spans="1:13" ht="15" customHeight="1">
      <c r="A16" s="642" t="s">
        <v>10</v>
      </c>
      <c r="B16" s="642"/>
      <c r="C16" s="418">
        <f>SUM(C15,C12,C9,C6)</f>
        <v>242</v>
      </c>
      <c r="D16" s="228">
        <f>SUM(D15,D12,D9,D6)</f>
        <v>63</v>
      </c>
      <c r="E16" s="228">
        <f t="shared" ref="E16" si="11">SUM(E15,E12,E9,E6)</f>
        <v>4</v>
      </c>
      <c r="F16" s="115">
        <f t="shared" si="1"/>
        <v>1.6528925619834711E-2</v>
      </c>
      <c r="H16" s="644" t="s">
        <v>250</v>
      </c>
      <c r="I16" s="108" t="s">
        <v>24</v>
      </c>
      <c r="J16" s="233">
        <v>11</v>
      </c>
      <c r="K16" s="421">
        <v>5</v>
      </c>
      <c r="L16" s="233">
        <v>3</v>
      </c>
      <c r="M16" s="258">
        <f t="shared" si="0"/>
        <v>0.27272727272727271</v>
      </c>
    </row>
    <row r="17" spans="2:13">
      <c r="H17" s="644"/>
      <c r="I17" s="108" t="s">
        <v>25</v>
      </c>
      <c r="J17" s="233">
        <v>6</v>
      </c>
      <c r="K17" s="421">
        <v>1</v>
      </c>
      <c r="M17" s="258">
        <f t="shared" si="0"/>
        <v>0</v>
      </c>
    </row>
    <row r="18" spans="2:13">
      <c r="H18" s="113" t="s">
        <v>9</v>
      </c>
      <c r="I18" s="113"/>
      <c r="J18" s="234">
        <f t="shared" ref="J18:L18" si="12">SUM(J16:J17)</f>
        <v>17</v>
      </c>
      <c r="K18" s="417">
        <f t="shared" si="12"/>
        <v>6</v>
      </c>
      <c r="L18" s="234">
        <f t="shared" si="12"/>
        <v>3</v>
      </c>
      <c r="M18" s="259">
        <f t="shared" si="0"/>
        <v>0.17647058823529413</v>
      </c>
    </row>
    <row r="19" spans="2:13" ht="15" customHeight="1">
      <c r="H19" s="644" t="s">
        <v>251</v>
      </c>
      <c r="I19" s="108" t="s">
        <v>24</v>
      </c>
      <c r="J19" s="233">
        <v>13</v>
      </c>
      <c r="K19" s="421">
        <v>1</v>
      </c>
      <c r="L19" s="233">
        <v>1</v>
      </c>
      <c r="M19" s="258">
        <f t="shared" si="0"/>
        <v>7.6923076923076927E-2</v>
      </c>
    </row>
    <row r="20" spans="2:13">
      <c r="H20" s="644"/>
      <c r="I20" s="108" t="s">
        <v>25</v>
      </c>
      <c r="J20" s="233">
        <v>5</v>
      </c>
      <c r="M20" s="258">
        <f t="shared" si="0"/>
        <v>0</v>
      </c>
    </row>
    <row r="21" spans="2:13">
      <c r="H21" s="113" t="s">
        <v>9</v>
      </c>
      <c r="I21" s="113"/>
      <c r="J21" s="234">
        <f t="shared" ref="J21:L21" si="13">SUM(J19:J20)</f>
        <v>18</v>
      </c>
      <c r="K21" s="417">
        <f t="shared" si="13"/>
        <v>1</v>
      </c>
      <c r="L21" s="234">
        <f t="shared" si="13"/>
        <v>1</v>
      </c>
      <c r="M21" s="259">
        <f t="shared" si="0"/>
        <v>5.5555555555555552E-2</v>
      </c>
    </row>
    <row r="22" spans="2:13">
      <c r="H22" s="642" t="s">
        <v>10</v>
      </c>
      <c r="I22" s="642"/>
      <c r="J22" s="235">
        <f>SUM(J21,J18,J15,J12,J9,J6)</f>
        <v>125</v>
      </c>
      <c r="K22" s="418">
        <f t="shared" ref="K22:L22" si="14">SUM(K21,K18,K15,K12,K9,K6)</f>
        <v>29</v>
      </c>
      <c r="L22" s="418">
        <f t="shared" si="14"/>
        <v>8</v>
      </c>
      <c r="M22" s="261">
        <f t="shared" si="0"/>
        <v>6.4000000000000001E-2</v>
      </c>
    </row>
    <row r="24" spans="2:13" ht="30">
      <c r="C24" s="420" t="s">
        <v>237</v>
      </c>
      <c r="D24" s="110" t="s">
        <v>641</v>
      </c>
      <c r="E24" s="110" t="s">
        <v>238</v>
      </c>
      <c r="F24" s="110" t="s">
        <v>232</v>
      </c>
      <c r="J24" s="237" t="s">
        <v>237</v>
      </c>
      <c r="K24" s="420" t="s">
        <v>641</v>
      </c>
      <c r="L24" s="237" t="s">
        <v>238</v>
      </c>
      <c r="M24" s="237" t="s">
        <v>232</v>
      </c>
    </row>
    <row r="25" spans="2:13">
      <c r="B25" s="108" t="s">
        <v>160</v>
      </c>
      <c r="C25" s="421">
        <v>9</v>
      </c>
      <c r="D25" s="402">
        <v>3</v>
      </c>
      <c r="E25" s="402">
        <v>1</v>
      </c>
      <c r="F25" s="81">
        <f t="shared" ref="F25:F33" si="15">E25/C25</f>
        <v>0.1111111111111111</v>
      </c>
      <c r="I25" s="260" t="s">
        <v>160</v>
      </c>
      <c r="J25" s="233">
        <v>1</v>
      </c>
      <c r="M25" s="81">
        <f>L25/J25</f>
        <v>0</v>
      </c>
    </row>
    <row r="26" spans="2:13">
      <c r="B26" s="108" t="s">
        <v>161</v>
      </c>
      <c r="C26" s="421">
        <v>20</v>
      </c>
      <c r="D26" s="402">
        <v>3</v>
      </c>
      <c r="E26" s="402">
        <v>1</v>
      </c>
      <c r="F26" s="81">
        <f t="shared" si="15"/>
        <v>0.05</v>
      </c>
      <c r="I26" s="260" t="s">
        <v>161</v>
      </c>
      <c r="J26" s="233">
        <v>10</v>
      </c>
      <c r="K26" s="421">
        <v>2</v>
      </c>
      <c r="M26" s="81">
        <f t="shared" ref="M26:M32" si="16">L26/J26</f>
        <v>0</v>
      </c>
    </row>
    <row r="27" spans="2:13">
      <c r="B27" s="108" t="s">
        <v>162</v>
      </c>
      <c r="C27" s="421">
        <v>36</v>
      </c>
      <c r="D27" s="402">
        <v>13</v>
      </c>
      <c r="E27" s="402"/>
      <c r="F27" s="81">
        <f t="shared" si="15"/>
        <v>0</v>
      </c>
      <c r="I27" s="260" t="s">
        <v>162</v>
      </c>
      <c r="J27" s="233">
        <v>11</v>
      </c>
      <c r="K27" s="421">
        <v>5</v>
      </c>
      <c r="L27" s="233">
        <v>1</v>
      </c>
      <c r="M27" s="81">
        <f t="shared" si="16"/>
        <v>9.0909090909090912E-2</v>
      </c>
    </row>
    <row r="28" spans="2:13">
      <c r="B28" s="108" t="s">
        <v>163</v>
      </c>
      <c r="C28" s="421">
        <v>45</v>
      </c>
      <c r="D28" s="402">
        <v>11</v>
      </c>
      <c r="E28" s="402"/>
      <c r="F28" s="81">
        <f t="shared" si="15"/>
        <v>0</v>
      </c>
      <c r="I28" s="260" t="s">
        <v>163</v>
      </c>
      <c r="J28" s="233">
        <v>27</v>
      </c>
      <c r="K28" s="421">
        <v>7</v>
      </c>
      <c r="L28" s="233">
        <v>5</v>
      </c>
      <c r="M28" s="81">
        <f t="shared" si="16"/>
        <v>0.18518518518518517</v>
      </c>
    </row>
    <row r="29" spans="2:13">
      <c r="B29" s="108" t="s">
        <v>164</v>
      </c>
      <c r="C29" s="421">
        <v>59</v>
      </c>
      <c r="D29" s="402">
        <v>18</v>
      </c>
      <c r="E29" s="402"/>
      <c r="F29" s="81">
        <f t="shared" si="15"/>
        <v>0</v>
      </c>
      <c r="I29" s="260" t="s">
        <v>164</v>
      </c>
      <c r="J29" s="233">
        <v>30</v>
      </c>
      <c r="K29" s="421">
        <v>8</v>
      </c>
      <c r="M29" s="81">
        <f t="shared" si="16"/>
        <v>0</v>
      </c>
    </row>
    <row r="30" spans="2:13">
      <c r="B30" s="108" t="s">
        <v>165</v>
      </c>
      <c r="C30" s="421">
        <v>49</v>
      </c>
      <c r="D30" s="402">
        <v>9</v>
      </c>
      <c r="E30" s="402">
        <v>1</v>
      </c>
      <c r="F30" s="81">
        <f t="shared" si="15"/>
        <v>2.0408163265306121E-2</v>
      </c>
      <c r="I30" s="260" t="s">
        <v>165</v>
      </c>
      <c r="J30" s="233">
        <v>32</v>
      </c>
      <c r="K30" s="421">
        <v>4</v>
      </c>
      <c r="L30" s="233">
        <v>1</v>
      </c>
      <c r="M30" s="81">
        <f t="shared" si="16"/>
        <v>3.125E-2</v>
      </c>
    </row>
    <row r="31" spans="2:13">
      <c r="B31" s="108" t="s">
        <v>166</v>
      </c>
      <c r="C31" s="421">
        <v>21</v>
      </c>
      <c r="D31" s="402">
        <v>5</v>
      </c>
      <c r="E31" s="402">
        <v>1</v>
      </c>
      <c r="F31" s="81">
        <f t="shared" si="15"/>
        <v>4.7619047619047616E-2</v>
      </c>
      <c r="I31" s="260" t="s">
        <v>166</v>
      </c>
      <c r="J31" s="233">
        <v>10</v>
      </c>
      <c r="K31" s="421">
        <v>1</v>
      </c>
      <c r="M31" s="81">
        <f t="shared" si="16"/>
        <v>0</v>
      </c>
    </row>
    <row r="32" spans="2:13">
      <c r="B32" s="108" t="s">
        <v>208</v>
      </c>
      <c r="C32" s="421">
        <v>3</v>
      </c>
      <c r="D32" s="402"/>
      <c r="E32" s="402"/>
      <c r="F32" s="81">
        <f t="shared" si="15"/>
        <v>0</v>
      </c>
      <c r="I32" s="260" t="s">
        <v>208</v>
      </c>
      <c r="J32" s="233">
        <v>4</v>
      </c>
      <c r="K32" s="421">
        <v>1</v>
      </c>
      <c r="L32" s="233">
        <v>1</v>
      </c>
      <c r="M32" s="81">
        <f t="shared" si="16"/>
        <v>0.25</v>
      </c>
    </row>
    <row r="33" spans="1:13">
      <c r="B33" s="111" t="s">
        <v>9</v>
      </c>
      <c r="C33" s="417">
        <f>SUM(C25:C32)</f>
        <v>242</v>
      </c>
      <c r="D33" s="400">
        <f>SUM(D25:D32)</f>
        <v>62</v>
      </c>
      <c r="E33" s="400">
        <f>SUM(E25:E32)</f>
        <v>4</v>
      </c>
      <c r="F33" s="393">
        <f t="shared" si="15"/>
        <v>1.6528925619834711E-2</v>
      </c>
      <c r="I33" s="234" t="s">
        <v>9</v>
      </c>
      <c r="J33" s="400">
        <f>SUM(J25:J32)</f>
        <v>125</v>
      </c>
      <c r="K33" s="417">
        <f>SUM(K25:K32)</f>
        <v>28</v>
      </c>
      <c r="L33" s="400">
        <f>SUM(L25:L32)</f>
        <v>8</v>
      </c>
      <c r="M33" s="393">
        <f>L33/J33</f>
        <v>6.4000000000000001E-2</v>
      </c>
    </row>
    <row r="35" spans="1:13" ht="15.75">
      <c r="A35" s="13" t="s">
        <v>239</v>
      </c>
    </row>
    <row r="36" spans="1:13">
      <c r="A36" t="s">
        <v>252</v>
      </c>
      <c r="H36" t="s">
        <v>253</v>
      </c>
    </row>
    <row r="37" spans="1:13" ht="30">
      <c r="C37" s="419" t="s">
        <v>230</v>
      </c>
      <c r="D37" s="420" t="s">
        <v>642</v>
      </c>
      <c r="E37" s="109" t="s">
        <v>231</v>
      </c>
      <c r="F37" s="562" t="s">
        <v>232</v>
      </c>
      <c r="J37" s="236" t="s">
        <v>230</v>
      </c>
      <c r="K37" s="420" t="s">
        <v>643</v>
      </c>
      <c r="L37" s="236" t="s">
        <v>231</v>
      </c>
      <c r="M37" s="237" t="s">
        <v>232</v>
      </c>
    </row>
    <row r="38" spans="1:13" ht="15" customHeight="1">
      <c r="A38" s="644" t="s">
        <v>240</v>
      </c>
      <c r="B38" s="108" t="s">
        <v>24</v>
      </c>
      <c r="C38" s="421">
        <v>19</v>
      </c>
      <c r="D38" s="226">
        <v>3</v>
      </c>
      <c r="E38" s="226"/>
      <c r="F38" s="107">
        <f>IFERROR(E38/C38,"")</f>
        <v>0</v>
      </c>
      <c r="H38" s="644" t="s">
        <v>254</v>
      </c>
      <c r="I38" s="108" t="s">
        <v>24</v>
      </c>
      <c r="K38" s="421">
        <v>1</v>
      </c>
      <c r="M38" s="258" t="str">
        <f>IFERROR(L38/J38,"")</f>
        <v/>
      </c>
    </row>
    <row r="39" spans="1:13">
      <c r="A39" s="644"/>
      <c r="B39" s="108" t="s">
        <v>25</v>
      </c>
      <c r="C39" s="421"/>
      <c r="D39" s="226"/>
      <c r="E39" s="226"/>
      <c r="F39" s="107" t="str">
        <f t="shared" ref="F39:F44" si="17">IFERROR(E39/C39,"")</f>
        <v/>
      </c>
      <c r="H39" s="644"/>
      <c r="I39" s="108" t="s">
        <v>25</v>
      </c>
      <c r="M39" s="258" t="str">
        <f>IFERROR(L39/J39,"")</f>
        <v/>
      </c>
    </row>
    <row r="40" spans="1:13">
      <c r="A40" s="113" t="s">
        <v>9</v>
      </c>
      <c r="B40" s="113"/>
      <c r="C40" s="417">
        <f t="shared" ref="C40:D40" si="18">SUM(C38:C39)</f>
        <v>19</v>
      </c>
      <c r="D40" s="229">
        <f t="shared" si="18"/>
        <v>3</v>
      </c>
      <c r="E40" s="229">
        <f t="shared" ref="E40" si="19">SUM(E38:E39)</f>
        <v>0</v>
      </c>
      <c r="F40" s="112">
        <f t="shared" si="17"/>
        <v>0</v>
      </c>
      <c r="H40" s="113" t="s">
        <v>9</v>
      </c>
      <c r="I40" s="113"/>
      <c r="J40" s="234">
        <f t="shared" ref="J40" si="20">SUM(J38:J39)</f>
        <v>0</v>
      </c>
      <c r="K40" s="417">
        <v>1</v>
      </c>
      <c r="L40" s="234">
        <f t="shared" ref="L40" si="21">SUM(L38:L39)</f>
        <v>0</v>
      </c>
      <c r="M40" s="259" t="e">
        <f t="shared" ref="M40:M53" si="22">L40/J40</f>
        <v>#DIV/0!</v>
      </c>
    </row>
    <row r="41" spans="1:13" ht="15" customHeight="1">
      <c r="A41" s="644" t="s">
        <v>241</v>
      </c>
      <c r="B41" s="108" t="s">
        <v>24</v>
      </c>
      <c r="C41" s="421">
        <v>28</v>
      </c>
      <c r="D41" s="226">
        <v>6</v>
      </c>
      <c r="E41" s="226">
        <v>1</v>
      </c>
      <c r="F41" s="107">
        <f t="shared" si="17"/>
        <v>3.5714285714285712E-2</v>
      </c>
      <c r="H41" s="644" t="s">
        <v>255</v>
      </c>
      <c r="I41" s="108" t="s">
        <v>24</v>
      </c>
      <c r="K41" s="421">
        <v>7</v>
      </c>
      <c r="M41" s="258" t="str">
        <f>IFERROR(L41/J41,"")</f>
        <v/>
      </c>
    </row>
    <row r="42" spans="1:13">
      <c r="A42" s="644"/>
      <c r="B42" s="108" t="s">
        <v>25</v>
      </c>
      <c r="C42" s="421">
        <v>4</v>
      </c>
      <c r="D42" s="226"/>
      <c r="E42" s="226"/>
      <c r="F42" s="107">
        <f t="shared" si="17"/>
        <v>0</v>
      </c>
      <c r="H42" s="644"/>
      <c r="I42" s="108" t="s">
        <v>25</v>
      </c>
      <c r="M42" s="258" t="str">
        <f>IFERROR(L42/J42,"")</f>
        <v/>
      </c>
    </row>
    <row r="43" spans="1:13">
      <c r="A43" s="113" t="s">
        <v>9</v>
      </c>
      <c r="B43" s="113"/>
      <c r="C43" s="417">
        <f t="shared" ref="C43:D43" si="23">SUM(C41:C42)</f>
        <v>32</v>
      </c>
      <c r="D43" s="229">
        <f t="shared" si="23"/>
        <v>6</v>
      </c>
      <c r="E43" s="229">
        <f t="shared" ref="E43" si="24">SUM(E41:E42)</f>
        <v>1</v>
      </c>
      <c r="F43" s="112">
        <f t="shared" si="17"/>
        <v>3.125E-2</v>
      </c>
      <c r="H43" s="113" t="s">
        <v>9</v>
      </c>
      <c r="I43" s="113"/>
      <c r="J43" s="234">
        <f t="shared" ref="J43" si="25">SUM(J41:J42)</f>
        <v>0</v>
      </c>
      <c r="K43" s="417">
        <v>7</v>
      </c>
      <c r="L43" s="234">
        <f t="shared" ref="L43" si="26">SUM(L41:L42)</f>
        <v>0</v>
      </c>
      <c r="M43" s="259" t="e">
        <f t="shared" si="22"/>
        <v>#DIV/0!</v>
      </c>
    </row>
    <row r="44" spans="1:13">
      <c r="A44" s="116" t="s">
        <v>10</v>
      </c>
      <c r="B44" s="116"/>
      <c r="C44" s="418">
        <f t="shared" ref="C44:E44" si="27">SUM(C43,C40)</f>
        <v>51</v>
      </c>
      <c r="D44" s="228">
        <f t="shared" si="27"/>
        <v>9</v>
      </c>
      <c r="E44" s="228">
        <f t="shared" si="27"/>
        <v>1</v>
      </c>
      <c r="F44" s="115">
        <f t="shared" si="17"/>
        <v>1.9607843137254902E-2</v>
      </c>
      <c r="H44" s="644" t="s">
        <v>256</v>
      </c>
      <c r="I44" s="108" t="s">
        <v>24</v>
      </c>
      <c r="K44" s="421">
        <v>3</v>
      </c>
      <c r="M44" s="258" t="str">
        <f>IFERROR(L44/J44,"")</f>
        <v/>
      </c>
    </row>
    <row r="45" spans="1:13">
      <c r="H45" s="644"/>
      <c r="I45" s="108" t="s">
        <v>25</v>
      </c>
      <c r="M45" s="258" t="str">
        <f>IFERROR(L45/J45,"")</f>
        <v/>
      </c>
    </row>
    <row r="46" spans="1:13">
      <c r="H46" s="113" t="s">
        <v>9</v>
      </c>
      <c r="I46" s="113"/>
      <c r="J46" s="234">
        <f t="shared" ref="J46" si="28">SUM(J44:J45)</f>
        <v>0</v>
      </c>
      <c r="K46" s="417">
        <v>3</v>
      </c>
      <c r="L46" s="234">
        <f t="shared" ref="L46" si="29">SUM(L44:L45)</f>
        <v>0</v>
      </c>
      <c r="M46" s="259" t="e">
        <f t="shared" si="22"/>
        <v>#DIV/0!</v>
      </c>
    </row>
    <row r="47" spans="1:13">
      <c r="H47" s="644" t="s">
        <v>257</v>
      </c>
      <c r="I47" s="108" t="s">
        <v>24</v>
      </c>
      <c r="K47" s="421">
        <v>7</v>
      </c>
      <c r="M47" s="258" t="str">
        <f>IFERROR(L47/J47,"")</f>
        <v/>
      </c>
    </row>
    <row r="48" spans="1:13">
      <c r="H48" s="644"/>
      <c r="I48" s="108" t="s">
        <v>25</v>
      </c>
      <c r="K48" s="421">
        <v>1</v>
      </c>
      <c r="M48" s="258" t="str">
        <f>IFERROR(L48/J48,"")</f>
        <v/>
      </c>
    </row>
    <row r="49" spans="2:13">
      <c r="H49" s="113" t="s">
        <v>9</v>
      </c>
      <c r="I49" s="113"/>
      <c r="J49" s="234">
        <f t="shared" ref="J49" si="30">SUM(J47:J48)</f>
        <v>0</v>
      </c>
      <c r="K49" s="417">
        <v>8</v>
      </c>
      <c r="L49" s="234">
        <f t="shared" ref="L49" si="31">SUM(L47:L48)</f>
        <v>0</v>
      </c>
      <c r="M49" s="259" t="e">
        <f t="shared" si="22"/>
        <v>#DIV/0!</v>
      </c>
    </row>
    <row r="50" spans="2:13">
      <c r="H50" s="644" t="s">
        <v>258</v>
      </c>
      <c r="I50" s="108" t="s">
        <v>24</v>
      </c>
      <c r="K50" s="421">
        <v>1</v>
      </c>
      <c r="L50" s="233">
        <v>1</v>
      </c>
      <c r="M50" s="258" t="str">
        <f>IFERROR(L50/J50,"")</f>
        <v/>
      </c>
    </row>
    <row r="51" spans="2:13">
      <c r="H51" s="644"/>
      <c r="I51" s="108" t="s">
        <v>25</v>
      </c>
      <c r="M51" s="258" t="str">
        <f>IFERROR(L51/J51,"")</f>
        <v/>
      </c>
    </row>
    <row r="52" spans="2:13" ht="15" customHeight="1">
      <c r="H52" s="113" t="s">
        <v>9</v>
      </c>
      <c r="I52" s="113"/>
      <c r="J52" s="234">
        <f t="shared" ref="J52" si="32">SUM(J50:J51)</f>
        <v>0</v>
      </c>
      <c r="K52" s="417">
        <v>1</v>
      </c>
      <c r="L52" s="234">
        <f t="shared" ref="L52" si="33">SUM(L50:L51)</f>
        <v>1</v>
      </c>
      <c r="M52" s="259" t="e">
        <f t="shared" si="22"/>
        <v>#DIV/0!</v>
      </c>
    </row>
    <row r="53" spans="2:13">
      <c r="H53" s="642" t="s">
        <v>10</v>
      </c>
      <c r="I53" s="642"/>
      <c r="J53" s="235">
        <f t="shared" ref="J53:L53" si="34">SUM(J52,J49,J46,J43,J40,J37)</f>
        <v>0</v>
      </c>
      <c r="K53" s="418">
        <v>20</v>
      </c>
      <c r="L53" s="235">
        <f t="shared" si="34"/>
        <v>1</v>
      </c>
      <c r="M53" s="261" t="e">
        <f t="shared" si="22"/>
        <v>#DIV/0!</v>
      </c>
    </row>
    <row r="55" spans="2:13" ht="30">
      <c r="C55" s="420" t="s">
        <v>237</v>
      </c>
      <c r="D55" s="110" t="s">
        <v>642</v>
      </c>
      <c r="E55" s="110" t="s">
        <v>238</v>
      </c>
      <c r="F55" s="562" t="s">
        <v>232</v>
      </c>
      <c r="J55" s="237" t="s">
        <v>237</v>
      </c>
      <c r="K55" s="420" t="s">
        <v>642</v>
      </c>
      <c r="L55" s="237" t="s">
        <v>238</v>
      </c>
      <c r="M55" s="237" t="s">
        <v>232</v>
      </c>
    </row>
    <row r="56" spans="2:13">
      <c r="B56" s="108" t="s">
        <v>160</v>
      </c>
      <c r="F56" s="79" t="str">
        <f t="shared" ref="F56:F63" si="35">IFERROR(E56/C56,"")</f>
        <v/>
      </c>
      <c r="I56" s="260" t="s">
        <v>160</v>
      </c>
      <c r="J56" s="233">
        <v>1</v>
      </c>
      <c r="M56" s="394">
        <f>IFERROR(L56/J56,"")</f>
        <v>0</v>
      </c>
    </row>
    <row r="57" spans="2:13">
      <c r="B57" s="108" t="s">
        <v>161</v>
      </c>
      <c r="C57">
        <v>4</v>
      </c>
      <c r="F57" s="398">
        <f t="shared" si="35"/>
        <v>0</v>
      </c>
      <c r="I57" s="260" t="s">
        <v>161</v>
      </c>
      <c r="J57" s="233">
        <v>5</v>
      </c>
      <c r="K57" s="421">
        <v>3</v>
      </c>
      <c r="M57" s="394">
        <f t="shared" ref="M57:M63" si="36">IFERROR(L57/J57,"")</f>
        <v>0</v>
      </c>
    </row>
    <row r="58" spans="2:13" ht="15" customHeight="1">
      <c r="B58" s="108" t="s">
        <v>162</v>
      </c>
      <c r="C58">
        <v>5</v>
      </c>
      <c r="D58">
        <v>1</v>
      </c>
      <c r="F58" s="398">
        <f t="shared" si="35"/>
        <v>0</v>
      </c>
      <c r="I58" s="260" t="s">
        <v>162</v>
      </c>
      <c r="J58" s="233">
        <v>5</v>
      </c>
      <c r="K58" s="421">
        <v>3</v>
      </c>
      <c r="M58" s="394">
        <f t="shared" si="36"/>
        <v>0</v>
      </c>
    </row>
    <row r="59" spans="2:13">
      <c r="B59" s="108" t="s">
        <v>163</v>
      </c>
      <c r="C59">
        <v>7</v>
      </c>
      <c r="D59">
        <v>2</v>
      </c>
      <c r="F59" s="398">
        <f t="shared" si="35"/>
        <v>0</v>
      </c>
      <c r="I59" s="260" t="s">
        <v>163</v>
      </c>
      <c r="J59" s="233">
        <v>5</v>
      </c>
      <c r="K59" s="421">
        <v>4</v>
      </c>
      <c r="L59" s="233">
        <v>1</v>
      </c>
      <c r="M59" s="394">
        <f t="shared" si="36"/>
        <v>0.2</v>
      </c>
    </row>
    <row r="60" spans="2:13">
      <c r="B60" s="108" t="s">
        <v>164</v>
      </c>
      <c r="C60">
        <v>17</v>
      </c>
      <c r="D60">
        <v>3</v>
      </c>
      <c r="E60">
        <v>1</v>
      </c>
      <c r="F60" s="398">
        <f t="shared" si="35"/>
        <v>5.8823529411764705E-2</v>
      </c>
      <c r="I60" s="260" t="s">
        <v>164</v>
      </c>
      <c r="J60" s="233">
        <v>17</v>
      </c>
      <c r="K60" s="421">
        <v>7</v>
      </c>
      <c r="M60" s="394">
        <f t="shared" si="36"/>
        <v>0</v>
      </c>
    </row>
    <row r="61" spans="2:13" ht="15" customHeight="1">
      <c r="B61" s="108" t="s">
        <v>165</v>
      </c>
      <c r="C61">
        <v>10</v>
      </c>
      <c r="D61">
        <v>1</v>
      </c>
      <c r="F61" s="398">
        <f t="shared" si="35"/>
        <v>0</v>
      </c>
      <c r="I61" s="260" t="s">
        <v>165</v>
      </c>
      <c r="J61" s="233">
        <v>11</v>
      </c>
      <c r="K61" s="421">
        <v>2</v>
      </c>
      <c r="M61" s="394">
        <f t="shared" si="36"/>
        <v>0</v>
      </c>
    </row>
    <row r="62" spans="2:13">
      <c r="B62" s="108" t="s">
        <v>166</v>
      </c>
      <c r="C62">
        <v>8</v>
      </c>
      <c r="D62">
        <v>2</v>
      </c>
      <c r="F62" s="398">
        <f t="shared" si="35"/>
        <v>0</v>
      </c>
      <c r="I62" s="260" t="s">
        <v>166</v>
      </c>
      <c r="J62" s="233">
        <v>8</v>
      </c>
      <c r="K62" s="421">
        <v>1</v>
      </c>
      <c r="M62" s="394">
        <f t="shared" si="36"/>
        <v>0</v>
      </c>
    </row>
    <row r="63" spans="2:13">
      <c r="B63" s="108" t="s">
        <v>208</v>
      </c>
      <c r="F63" s="398" t="str">
        <f t="shared" si="35"/>
        <v/>
      </c>
      <c r="I63" s="260" t="s">
        <v>208</v>
      </c>
      <c r="M63" s="394" t="str">
        <f t="shared" si="36"/>
        <v/>
      </c>
    </row>
    <row r="64" spans="2:13">
      <c r="B64" s="111" t="s">
        <v>9</v>
      </c>
      <c r="C64" s="111">
        <f t="shared" ref="C64:D64" si="37">SUM(C56:C63)</f>
        <v>51</v>
      </c>
      <c r="D64" s="111">
        <f t="shared" si="37"/>
        <v>9</v>
      </c>
      <c r="E64" s="111">
        <f>SUM(E56:E63)</f>
        <v>1</v>
      </c>
      <c r="F64" s="399">
        <f t="shared" ref="F64" si="38">E64/C64</f>
        <v>1.9607843137254902E-2</v>
      </c>
      <c r="I64" s="234" t="s">
        <v>9</v>
      </c>
      <c r="J64" s="234">
        <f>SUM(J56:J63)</f>
        <v>52</v>
      </c>
      <c r="K64" s="417">
        <f>SUM(K56:K63)</f>
        <v>20</v>
      </c>
      <c r="L64" s="234">
        <f>SUM(L56:L63)</f>
        <v>1</v>
      </c>
      <c r="M64" s="395">
        <f t="shared" ref="M64" si="39">L64/J64</f>
        <v>1.9230769230769232E-2</v>
      </c>
    </row>
    <row r="66" spans="1:13" ht="15.75">
      <c r="A66" s="13" t="s">
        <v>242</v>
      </c>
    </row>
    <row r="67" spans="1:13">
      <c r="A67" t="s">
        <v>252</v>
      </c>
      <c r="H67" t="s">
        <v>253</v>
      </c>
    </row>
    <row r="68" spans="1:13" ht="30">
      <c r="C68" s="236" t="s">
        <v>230</v>
      </c>
      <c r="D68" s="236" t="s">
        <v>231</v>
      </c>
      <c r="E68" s="237" t="s">
        <v>232</v>
      </c>
      <c r="I68" s="236" t="s">
        <v>230</v>
      </c>
      <c r="J68" s="236" t="s">
        <v>231</v>
      </c>
      <c r="K68" s="237" t="s">
        <v>232</v>
      </c>
      <c r="L68"/>
      <c r="M68"/>
    </row>
    <row r="69" spans="1:13" ht="30">
      <c r="A69" s="237" t="s">
        <v>243</v>
      </c>
      <c r="B69" s="108" t="s">
        <v>24</v>
      </c>
      <c r="C69" s="233">
        <v>3</v>
      </c>
      <c r="D69" s="233"/>
      <c r="E69" s="258">
        <f t="shared" ref="E69:E81" si="40">IFERROR(D69/C69,"")</f>
        <v>0</v>
      </c>
      <c r="G69" s="644" t="s">
        <v>259</v>
      </c>
      <c r="H69" s="108" t="s">
        <v>24</v>
      </c>
      <c r="I69" s="233">
        <v>1</v>
      </c>
      <c r="J69" s="233">
        <v>1</v>
      </c>
      <c r="K69" s="258">
        <f t="shared" ref="K69:K87" si="41">IFERROR(J69/I69,"")</f>
        <v>1</v>
      </c>
      <c r="L69"/>
      <c r="M69"/>
    </row>
    <row r="70" spans="1:13">
      <c r="A70" s="237"/>
      <c r="B70" s="108" t="s">
        <v>25</v>
      </c>
      <c r="C70" s="233">
        <v>1</v>
      </c>
      <c r="D70" s="233"/>
      <c r="E70" s="258">
        <f t="shared" si="40"/>
        <v>0</v>
      </c>
      <c r="G70" s="644"/>
      <c r="H70" s="108" t="s">
        <v>25</v>
      </c>
      <c r="I70" s="233"/>
      <c r="K70" s="258" t="str">
        <f t="shared" si="41"/>
        <v/>
      </c>
      <c r="L70"/>
      <c r="M70"/>
    </row>
    <row r="71" spans="1:13">
      <c r="A71" s="234" t="s">
        <v>9</v>
      </c>
      <c r="B71" s="234"/>
      <c r="C71" s="234">
        <f t="shared" ref="C71" si="42">SUM(C69:C70)</f>
        <v>4</v>
      </c>
      <c r="D71" s="234">
        <f t="shared" ref="D71" si="43">SUM(D69:D70)</f>
        <v>0</v>
      </c>
      <c r="E71" s="259">
        <f t="shared" si="40"/>
        <v>0</v>
      </c>
      <c r="G71" s="113" t="s">
        <v>9</v>
      </c>
      <c r="H71" s="113"/>
      <c r="I71" s="234">
        <f t="shared" ref="I71" si="44">SUM(I69:I70)</f>
        <v>1</v>
      </c>
      <c r="J71" s="234">
        <f t="shared" ref="J71" si="45">SUM(J69:J70)</f>
        <v>1</v>
      </c>
      <c r="K71" s="259">
        <f t="shared" si="41"/>
        <v>1</v>
      </c>
      <c r="L71"/>
      <c r="M71"/>
    </row>
    <row r="72" spans="1:13" ht="30">
      <c r="A72" s="237" t="s">
        <v>244</v>
      </c>
      <c r="B72" s="108" t="s">
        <v>24</v>
      </c>
      <c r="C72" s="233">
        <v>3</v>
      </c>
      <c r="D72" s="233"/>
      <c r="E72" s="258">
        <f t="shared" si="40"/>
        <v>0</v>
      </c>
      <c r="G72" s="644" t="s">
        <v>587</v>
      </c>
      <c r="H72" s="108" t="s">
        <v>24</v>
      </c>
      <c r="I72" s="387">
        <v>2</v>
      </c>
      <c r="J72" s="387"/>
      <c r="K72" s="258">
        <f t="shared" si="41"/>
        <v>0</v>
      </c>
      <c r="L72"/>
      <c r="M72"/>
    </row>
    <row r="73" spans="1:13" ht="15" customHeight="1">
      <c r="A73" s="237"/>
      <c r="B73" s="108" t="s">
        <v>25</v>
      </c>
      <c r="C73" s="233">
        <v>1</v>
      </c>
      <c r="D73" s="233"/>
      <c r="E73" s="258">
        <f t="shared" si="40"/>
        <v>0</v>
      </c>
      <c r="G73" s="644"/>
      <c r="H73" s="108" t="s">
        <v>25</v>
      </c>
      <c r="I73" s="387"/>
      <c r="J73" s="387"/>
      <c r="K73" s="258" t="str">
        <f t="shared" si="41"/>
        <v/>
      </c>
      <c r="L73"/>
      <c r="M73"/>
    </row>
    <row r="74" spans="1:13">
      <c r="A74" s="234" t="s">
        <v>9</v>
      </c>
      <c r="B74" s="234"/>
      <c r="C74" s="234">
        <f t="shared" ref="C74" si="46">SUM(C72:C73)</f>
        <v>4</v>
      </c>
      <c r="D74" s="234">
        <f t="shared" ref="D74" si="47">SUM(D72:D73)</f>
        <v>0</v>
      </c>
      <c r="E74" s="259">
        <f t="shared" si="40"/>
        <v>0</v>
      </c>
      <c r="G74" s="386" t="s">
        <v>9</v>
      </c>
      <c r="H74" s="386"/>
      <c r="I74" s="386">
        <f t="shared" ref="I74:J74" si="48">SUM(I72:I73)</f>
        <v>2</v>
      </c>
      <c r="J74" s="386">
        <f t="shared" si="48"/>
        <v>0</v>
      </c>
      <c r="K74" s="259">
        <f t="shared" si="41"/>
        <v>0</v>
      </c>
      <c r="L74"/>
      <c r="M74"/>
    </row>
    <row r="75" spans="1:13" ht="30">
      <c r="A75" s="237" t="s">
        <v>246</v>
      </c>
      <c r="B75" s="108" t="s">
        <v>24</v>
      </c>
      <c r="C75" s="233">
        <v>9</v>
      </c>
      <c r="D75" s="233"/>
      <c r="E75" s="258">
        <f t="shared" si="40"/>
        <v>0</v>
      </c>
      <c r="G75" s="644" t="s">
        <v>588</v>
      </c>
      <c r="H75" s="108" t="s">
        <v>24</v>
      </c>
      <c r="I75" s="233">
        <v>1</v>
      </c>
      <c r="K75" s="258">
        <f t="shared" si="41"/>
        <v>0</v>
      </c>
      <c r="L75"/>
      <c r="M75"/>
    </row>
    <row r="76" spans="1:13" ht="15" customHeight="1">
      <c r="A76" s="237"/>
      <c r="B76" s="108" t="s">
        <v>25</v>
      </c>
      <c r="C76" s="233">
        <v>5</v>
      </c>
      <c r="D76" s="233"/>
      <c r="E76" s="258">
        <f t="shared" si="40"/>
        <v>0</v>
      </c>
      <c r="G76" s="644"/>
      <c r="H76" s="108" t="s">
        <v>25</v>
      </c>
      <c r="I76" s="233">
        <v>3</v>
      </c>
      <c r="K76" s="258">
        <f t="shared" si="41"/>
        <v>0</v>
      </c>
      <c r="L76"/>
      <c r="M76"/>
    </row>
    <row r="77" spans="1:13">
      <c r="A77" s="234" t="s">
        <v>9</v>
      </c>
      <c r="B77" s="234"/>
      <c r="C77" s="234">
        <f t="shared" ref="C77" si="49">SUM(C75:C76)</f>
        <v>14</v>
      </c>
      <c r="D77" s="234">
        <f t="shared" ref="D77" si="50">SUM(D75:D76)</f>
        <v>0</v>
      </c>
      <c r="E77" s="259">
        <f t="shared" si="40"/>
        <v>0</v>
      </c>
      <c r="G77" s="113" t="s">
        <v>9</v>
      </c>
      <c r="H77" s="113"/>
      <c r="I77" s="234">
        <f t="shared" ref="I77" si="51">SUM(I75:I76)</f>
        <v>4</v>
      </c>
      <c r="J77" s="234">
        <f t="shared" ref="J77" si="52">SUM(J75:J76)</f>
        <v>0</v>
      </c>
      <c r="K77" s="259">
        <f t="shared" si="41"/>
        <v>0</v>
      </c>
      <c r="L77"/>
      <c r="M77"/>
    </row>
    <row r="78" spans="1:13" ht="30">
      <c r="A78" s="237" t="s">
        <v>245</v>
      </c>
      <c r="B78" s="108" t="s">
        <v>24</v>
      </c>
      <c r="C78" s="233">
        <v>6</v>
      </c>
      <c r="D78" s="233"/>
      <c r="E78" s="258">
        <f t="shared" si="40"/>
        <v>0</v>
      </c>
      <c r="G78" s="644" t="s">
        <v>260</v>
      </c>
      <c r="H78" s="108" t="s">
        <v>24</v>
      </c>
      <c r="I78" s="233"/>
      <c r="K78" s="258" t="str">
        <f t="shared" si="41"/>
        <v/>
      </c>
      <c r="L78"/>
      <c r="M78"/>
    </row>
    <row r="79" spans="1:13" ht="15" customHeight="1">
      <c r="A79" s="237"/>
      <c r="B79" s="108" t="s">
        <v>25</v>
      </c>
      <c r="C79" s="233">
        <v>8</v>
      </c>
      <c r="D79" s="233"/>
      <c r="E79" s="258">
        <f t="shared" si="40"/>
        <v>0</v>
      </c>
      <c r="G79" s="644"/>
      <c r="H79" s="108" t="s">
        <v>25</v>
      </c>
      <c r="I79" s="233"/>
      <c r="K79" s="258" t="str">
        <f t="shared" si="41"/>
        <v/>
      </c>
      <c r="L79"/>
      <c r="M79"/>
    </row>
    <row r="80" spans="1:13">
      <c r="A80" s="113" t="s">
        <v>9</v>
      </c>
      <c r="B80" s="113"/>
      <c r="C80" s="229">
        <f t="shared" ref="C80" si="53">SUM(C78:C79)</f>
        <v>14</v>
      </c>
      <c r="D80" s="229">
        <f t="shared" ref="D80" si="54">SUM(D78:D79)</f>
        <v>0</v>
      </c>
      <c r="E80" s="259">
        <f t="shared" si="40"/>
        <v>0</v>
      </c>
      <c r="G80" s="113" t="s">
        <v>9</v>
      </c>
      <c r="H80" s="113"/>
      <c r="I80" s="234">
        <f t="shared" ref="I80" si="55">SUM(I78:I79)</f>
        <v>0</v>
      </c>
      <c r="J80" s="234">
        <f t="shared" ref="J80" si="56">SUM(J78:J79)</f>
        <v>0</v>
      </c>
      <c r="K80" s="259" t="str">
        <f t="shared" si="41"/>
        <v/>
      </c>
      <c r="L80"/>
      <c r="M80"/>
    </row>
    <row r="81" spans="1:13">
      <c r="A81" s="116" t="s">
        <v>10</v>
      </c>
      <c r="B81" s="116"/>
      <c r="C81" s="228">
        <f t="shared" ref="C81" si="57">SUM(C80,C77,C74,C71)</f>
        <v>36</v>
      </c>
      <c r="D81" s="228">
        <f t="shared" ref="D81" si="58">SUM(D80,D77,D74,D71)</f>
        <v>0</v>
      </c>
      <c r="E81" s="115">
        <f t="shared" si="40"/>
        <v>0</v>
      </c>
      <c r="G81" s="644" t="s">
        <v>261</v>
      </c>
      <c r="H81" s="108" t="s">
        <v>24</v>
      </c>
      <c r="I81" s="233">
        <v>3</v>
      </c>
      <c r="K81" s="258">
        <f t="shared" si="41"/>
        <v>0</v>
      </c>
      <c r="L81"/>
      <c r="M81"/>
    </row>
    <row r="82" spans="1:13" ht="15" customHeight="1">
      <c r="G82" s="644"/>
      <c r="H82" s="108" t="s">
        <v>25</v>
      </c>
      <c r="I82" s="233">
        <v>3</v>
      </c>
      <c r="J82" s="233">
        <v>1</v>
      </c>
      <c r="K82" s="258">
        <f t="shared" si="41"/>
        <v>0.33333333333333331</v>
      </c>
      <c r="L82"/>
      <c r="M82"/>
    </row>
    <row r="83" spans="1:13">
      <c r="G83" s="113" t="s">
        <v>9</v>
      </c>
      <c r="H83" s="113"/>
      <c r="I83" s="234">
        <f t="shared" ref="I83" si="59">SUM(I81:I82)</f>
        <v>6</v>
      </c>
      <c r="J83" s="234">
        <f t="shared" ref="J83" si="60">SUM(J81:J82)</f>
        <v>1</v>
      </c>
      <c r="K83" s="259">
        <f t="shared" si="41"/>
        <v>0.16666666666666666</v>
      </c>
      <c r="L83"/>
      <c r="M83"/>
    </row>
    <row r="84" spans="1:13">
      <c r="C84" s="226"/>
      <c r="D84" s="226"/>
      <c r="G84" s="644" t="s">
        <v>262</v>
      </c>
      <c r="H84" s="108" t="s">
        <v>24</v>
      </c>
      <c r="I84" s="233">
        <v>2</v>
      </c>
      <c r="K84" s="258">
        <f t="shared" si="41"/>
        <v>0</v>
      </c>
      <c r="L84"/>
      <c r="M84"/>
    </row>
    <row r="85" spans="1:13">
      <c r="G85" s="644"/>
      <c r="H85" s="108" t="s">
        <v>25</v>
      </c>
      <c r="I85" s="233"/>
      <c r="K85" s="258" t="str">
        <f t="shared" si="41"/>
        <v/>
      </c>
      <c r="L85"/>
      <c r="M85"/>
    </row>
    <row r="86" spans="1:13">
      <c r="G86" s="113" t="s">
        <v>9</v>
      </c>
      <c r="H86" s="113"/>
      <c r="I86" s="234">
        <f t="shared" ref="I86" si="61">SUM(I84:I85)</f>
        <v>2</v>
      </c>
      <c r="J86" s="234">
        <f t="shared" ref="J86" si="62">SUM(J84:J85)</f>
        <v>0</v>
      </c>
      <c r="K86" s="259">
        <f t="shared" si="41"/>
        <v>0</v>
      </c>
      <c r="L86"/>
      <c r="M86"/>
    </row>
    <row r="87" spans="1:13">
      <c r="G87" s="642" t="s">
        <v>10</v>
      </c>
      <c r="H87" s="642"/>
      <c r="I87" s="235">
        <f>SUM(I86,I83,I80,I77,I71,I68)</f>
        <v>13</v>
      </c>
      <c r="J87" s="235">
        <f>SUM(J86,J83,J80,J77,J71,J68)</f>
        <v>2</v>
      </c>
      <c r="K87" s="261">
        <f t="shared" si="41"/>
        <v>0.15384615384615385</v>
      </c>
      <c r="L87"/>
      <c r="M87"/>
    </row>
    <row r="88" spans="1:13" ht="7.5" customHeight="1">
      <c r="I88" s="233"/>
      <c r="K88" s="233"/>
      <c r="L88"/>
      <c r="M88"/>
    </row>
    <row r="89" spans="1:13" ht="60">
      <c r="C89" s="110" t="s">
        <v>237</v>
      </c>
      <c r="D89" s="110" t="s">
        <v>238</v>
      </c>
      <c r="E89" s="110" t="s">
        <v>232</v>
      </c>
      <c r="H89" s="233"/>
      <c r="I89" s="237" t="s">
        <v>237</v>
      </c>
      <c r="J89" s="237" t="s">
        <v>238</v>
      </c>
      <c r="K89" s="237" t="s">
        <v>232</v>
      </c>
      <c r="L89"/>
      <c r="M89"/>
    </row>
    <row r="90" spans="1:13">
      <c r="B90" s="108" t="s">
        <v>160</v>
      </c>
      <c r="E90" t="str">
        <f>IFERROR(D90/C90,"")</f>
        <v/>
      </c>
      <c r="H90" s="260" t="s">
        <v>160</v>
      </c>
      <c r="I90" s="233">
        <v>3</v>
      </c>
      <c r="K90" s="394">
        <f t="shared" ref="K90:K98" si="63">IFERROR(J90/I90,"")</f>
        <v>0</v>
      </c>
      <c r="L90"/>
      <c r="M90"/>
    </row>
    <row r="91" spans="1:13">
      <c r="B91" s="108" t="s">
        <v>161</v>
      </c>
      <c r="C91">
        <v>4</v>
      </c>
      <c r="E91" s="107">
        <f t="shared" ref="E91:E98" si="64">IFERROR(D91/C91,"")</f>
        <v>0</v>
      </c>
      <c r="H91" s="260" t="s">
        <v>161</v>
      </c>
      <c r="I91" s="233">
        <v>1</v>
      </c>
      <c r="K91" s="394">
        <f t="shared" si="63"/>
        <v>0</v>
      </c>
      <c r="L91"/>
      <c r="M91"/>
    </row>
    <row r="92" spans="1:13">
      <c r="B92" s="108" t="s">
        <v>162</v>
      </c>
      <c r="C92">
        <v>4</v>
      </c>
      <c r="E92" s="107">
        <f t="shared" si="64"/>
        <v>0</v>
      </c>
      <c r="H92" s="260" t="s">
        <v>162</v>
      </c>
      <c r="I92" s="233">
        <v>2</v>
      </c>
      <c r="K92" s="394">
        <f t="shared" si="63"/>
        <v>0</v>
      </c>
      <c r="L92"/>
      <c r="M92"/>
    </row>
    <row r="93" spans="1:13">
      <c r="B93" s="108" t="s">
        <v>163</v>
      </c>
      <c r="C93">
        <v>5</v>
      </c>
      <c r="E93" s="107">
        <f t="shared" si="64"/>
        <v>0</v>
      </c>
      <c r="H93" s="260" t="s">
        <v>163</v>
      </c>
      <c r="I93" s="233">
        <v>1</v>
      </c>
      <c r="J93" s="233">
        <v>1</v>
      </c>
      <c r="K93" s="394">
        <f t="shared" si="63"/>
        <v>1</v>
      </c>
      <c r="L93"/>
      <c r="M93"/>
    </row>
    <row r="94" spans="1:13">
      <c r="B94" s="108" t="s">
        <v>164</v>
      </c>
      <c r="C94">
        <v>9</v>
      </c>
      <c r="E94" s="107">
        <f t="shared" si="64"/>
        <v>0</v>
      </c>
      <c r="H94" s="260" t="s">
        <v>164</v>
      </c>
      <c r="I94" s="233">
        <v>2</v>
      </c>
      <c r="J94" s="233">
        <v>1</v>
      </c>
      <c r="K94" s="394">
        <f t="shared" si="63"/>
        <v>0.5</v>
      </c>
      <c r="L94"/>
      <c r="M94"/>
    </row>
    <row r="95" spans="1:13">
      <c r="B95" s="108" t="s">
        <v>165</v>
      </c>
      <c r="C95">
        <v>7</v>
      </c>
      <c r="E95" s="107">
        <f t="shared" si="64"/>
        <v>0</v>
      </c>
      <c r="H95" s="260" t="s">
        <v>165</v>
      </c>
      <c r="I95" s="233">
        <v>4</v>
      </c>
      <c r="K95" s="394">
        <f t="shared" si="63"/>
        <v>0</v>
      </c>
      <c r="L95"/>
      <c r="M95"/>
    </row>
    <row r="96" spans="1:13">
      <c r="B96" s="108" t="s">
        <v>166</v>
      </c>
      <c r="C96">
        <v>7</v>
      </c>
      <c r="E96" s="107">
        <f t="shared" si="64"/>
        <v>0</v>
      </c>
      <c r="H96" s="260" t="s">
        <v>166</v>
      </c>
      <c r="I96" s="233">
        <v>2</v>
      </c>
      <c r="K96" s="394">
        <f t="shared" si="63"/>
        <v>0</v>
      </c>
      <c r="L96"/>
      <c r="M96"/>
    </row>
    <row r="97" spans="2:13">
      <c r="B97" s="108" t="s">
        <v>208</v>
      </c>
      <c r="E97" s="107" t="str">
        <f t="shared" si="64"/>
        <v/>
      </c>
      <c r="H97" s="260" t="s">
        <v>208</v>
      </c>
      <c r="I97" s="233"/>
      <c r="K97" s="394" t="str">
        <f t="shared" si="63"/>
        <v/>
      </c>
      <c r="L97"/>
      <c r="M97"/>
    </row>
    <row r="98" spans="2:13">
      <c r="B98" s="111" t="s">
        <v>9</v>
      </c>
      <c r="C98" s="111">
        <f>SUM(C90:C97)</f>
        <v>36</v>
      </c>
      <c r="D98" s="111">
        <f>SUM(D90:D97)</f>
        <v>0</v>
      </c>
      <c r="E98" s="112">
        <f t="shared" si="64"/>
        <v>0</v>
      </c>
      <c r="H98" s="234" t="s">
        <v>9</v>
      </c>
      <c r="I98" s="234">
        <f>SUM(I90:I97)</f>
        <v>15</v>
      </c>
      <c r="J98" s="234">
        <f>SUM(J90:J97)</f>
        <v>2</v>
      </c>
      <c r="K98" s="259">
        <f t="shared" si="63"/>
        <v>0.13333333333333333</v>
      </c>
      <c r="L98"/>
      <c r="M98"/>
    </row>
    <row r="99" spans="2:13" ht="7.5" customHeight="1"/>
  </sheetData>
  <mergeCells count="31">
    <mergeCell ref="H19:H20"/>
    <mergeCell ref="H4:H5"/>
    <mergeCell ref="H7:H8"/>
    <mergeCell ref="H10:H11"/>
    <mergeCell ref="H13:H14"/>
    <mergeCell ref="H16:H17"/>
    <mergeCell ref="A38:A39"/>
    <mergeCell ref="A41:A42"/>
    <mergeCell ref="H22:I22"/>
    <mergeCell ref="H53:I53"/>
    <mergeCell ref="G87:H87"/>
    <mergeCell ref="G69:G70"/>
    <mergeCell ref="G81:G82"/>
    <mergeCell ref="G84:G85"/>
    <mergeCell ref="H50:H51"/>
    <mergeCell ref="G75:G76"/>
    <mergeCell ref="G78:G79"/>
    <mergeCell ref="H38:H39"/>
    <mergeCell ref="H41:H42"/>
    <mergeCell ref="H44:H45"/>
    <mergeCell ref="H47:H48"/>
    <mergeCell ref="G72:G73"/>
    <mergeCell ref="A15:B15"/>
    <mergeCell ref="A16:B16"/>
    <mergeCell ref="A4:A5"/>
    <mergeCell ref="A7:A8"/>
    <mergeCell ref="A10:A11"/>
    <mergeCell ref="A13:A14"/>
    <mergeCell ref="A6:B6"/>
    <mergeCell ref="A9:B9"/>
    <mergeCell ref="A12:B12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horizontalDpi="4294967293" verticalDpi="3600" r:id="rId1"/>
  <headerFooter>
    <oddHeader>&amp;C&amp;"-,Gras"Chapitre II - Parcours professionnel
2. Avancement BIATSS</oddHeader>
    <oddFooter>&amp;C&amp;"-,Gras"Base de Données Sociales 2023&amp;R&amp;P</oddFooter>
  </headerFooter>
  <rowBreaks count="2" manualBreakCount="2">
    <brk id="34" max="16383" man="1"/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9825-502E-4DC8-8877-E79B835649E4}">
  <sheetPr codeName="Feuil11">
    <tabColor rgb="FF92D050"/>
    <pageSetUpPr fitToPage="1"/>
  </sheetPr>
  <dimension ref="A1:N91"/>
  <sheetViews>
    <sheetView showGridLines="0" view="pageLayout" topLeftCell="A22" zoomScale="90" zoomScaleNormal="100" zoomScalePageLayoutView="90" workbookViewId="0">
      <selection activeCell="G30" sqref="G30"/>
    </sheetView>
  </sheetViews>
  <sheetFormatPr baseColWidth="10" defaultRowHeight="15"/>
  <cols>
    <col min="1" max="1" width="21.85546875" customWidth="1"/>
    <col min="3" max="3" width="15.85546875" style="416" bestFit="1" customWidth="1"/>
    <col min="4" max="4" width="12.7109375" style="416" bestFit="1" customWidth="1"/>
    <col min="5" max="5" width="12.42578125" style="421" customWidth="1"/>
    <col min="6" max="6" width="13.5703125" style="421" customWidth="1"/>
    <col min="7" max="7" width="13.7109375" bestFit="1" customWidth="1"/>
    <col min="8" max="8" width="14" customWidth="1"/>
    <col min="9" max="9" width="13.7109375" bestFit="1" customWidth="1"/>
    <col min="10" max="10" width="9.7109375" customWidth="1"/>
    <col min="12" max="12" width="15" customWidth="1"/>
    <col min="14" max="14" width="14.28515625" customWidth="1"/>
    <col min="15" max="15" width="1.5703125" customWidth="1"/>
  </cols>
  <sheetData>
    <row r="1" spans="1:14" ht="15.75">
      <c r="A1" s="13" t="s">
        <v>41</v>
      </c>
    </row>
    <row r="2" spans="1:14" ht="4.5" customHeight="1"/>
    <row r="3" spans="1:14" ht="30">
      <c r="C3" s="644" t="s">
        <v>662</v>
      </c>
      <c r="D3" s="644" t="s">
        <v>263</v>
      </c>
      <c r="E3" s="643" t="s">
        <v>231</v>
      </c>
      <c r="F3" s="643"/>
      <c r="G3" s="643"/>
      <c r="H3" s="644" t="s">
        <v>265</v>
      </c>
      <c r="I3" s="644" t="s">
        <v>264</v>
      </c>
      <c r="K3" s="465"/>
      <c r="L3" s="447" t="s">
        <v>237</v>
      </c>
      <c r="M3" s="447" t="s">
        <v>238</v>
      </c>
      <c r="N3" s="447" t="s">
        <v>232</v>
      </c>
    </row>
    <row r="4" spans="1:14">
      <c r="C4" s="644"/>
      <c r="D4" s="644"/>
      <c r="E4" s="419" t="s">
        <v>647</v>
      </c>
      <c r="F4" s="419" t="s">
        <v>648</v>
      </c>
      <c r="G4" s="419" t="s">
        <v>649</v>
      </c>
      <c r="H4" s="644"/>
      <c r="I4" s="644"/>
      <c r="K4" s="108" t="s">
        <v>159</v>
      </c>
      <c r="N4" s="66" t="str">
        <f>IFERROR(M4/L4,"")</f>
        <v/>
      </c>
    </row>
    <row r="5" spans="1:14">
      <c r="A5" s="644" t="s">
        <v>266</v>
      </c>
      <c r="B5" s="108" t="s">
        <v>24</v>
      </c>
      <c r="C5" s="449">
        <v>3</v>
      </c>
      <c r="E5" s="416"/>
      <c r="G5" s="421"/>
      <c r="H5" s="258">
        <f>IFERROR(SUM(E5:G5)/C5,"")</f>
        <v>0</v>
      </c>
      <c r="I5" s="66" t="str">
        <f>IFERROR(SUM(E5:G5)/D5,"")</f>
        <v/>
      </c>
      <c r="K5" s="108" t="s">
        <v>160</v>
      </c>
      <c r="L5">
        <v>3</v>
      </c>
      <c r="N5" s="66">
        <f t="shared" ref="N5:N12" si="0">IFERROR(M5/L5,"")</f>
        <v>0</v>
      </c>
    </row>
    <row r="6" spans="1:14">
      <c r="A6" s="644"/>
      <c r="B6" s="108" t="s">
        <v>25</v>
      </c>
      <c r="C6" s="449">
        <v>16</v>
      </c>
      <c r="D6" s="416">
        <v>4</v>
      </c>
      <c r="E6" s="416">
        <v>1</v>
      </c>
      <c r="F6" s="421">
        <v>1</v>
      </c>
      <c r="G6" s="421"/>
      <c r="H6" s="258">
        <f>IFERROR(SUM(E6:G6)/C6,"")</f>
        <v>0.125</v>
      </c>
      <c r="I6" s="66">
        <f>IFERROR(SUM(E6:G6)/D6,"")</f>
        <v>0.5</v>
      </c>
      <c r="K6" s="108" t="s">
        <v>161</v>
      </c>
      <c r="L6">
        <v>2</v>
      </c>
      <c r="N6" s="66">
        <f t="shared" si="0"/>
        <v>0</v>
      </c>
    </row>
    <row r="7" spans="1:14">
      <c r="A7" s="113" t="s">
        <v>9</v>
      </c>
      <c r="B7" s="113"/>
      <c r="C7" s="446">
        <f t="shared" ref="C7" si="1">SUM(C5:C6)</f>
        <v>19</v>
      </c>
      <c r="D7" s="415">
        <f t="shared" ref="D7:G7" si="2">SUM(D5:D6)</f>
        <v>4</v>
      </c>
      <c r="E7" s="415">
        <f t="shared" si="2"/>
        <v>1</v>
      </c>
      <c r="F7" s="417">
        <f t="shared" si="2"/>
        <v>1</v>
      </c>
      <c r="G7" s="417">
        <f t="shared" si="2"/>
        <v>0</v>
      </c>
      <c r="H7" s="393">
        <f t="shared" ref="H7:H20" si="3">IFERROR(SUM(E7:G7)/C7,"")</f>
        <v>0.10526315789473684</v>
      </c>
      <c r="I7" s="467">
        <f t="shared" ref="I7:I20" si="4">IFERROR(SUM(E7:G7)/D7,"")</f>
        <v>0.5</v>
      </c>
      <c r="K7" s="108" t="s">
        <v>162</v>
      </c>
      <c r="L7">
        <v>27</v>
      </c>
      <c r="M7">
        <v>7</v>
      </c>
      <c r="N7" s="66">
        <f t="shared" si="0"/>
        <v>0.25925925925925924</v>
      </c>
    </row>
    <row r="8" spans="1:14">
      <c r="A8" s="644" t="s">
        <v>267</v>
      </c>
      <c r="B8" s="108" t="s">
        <v>24</v>
      </c>
      <c r="C8" s="449">
        <v>8</v>
      </c>
      <c r="D8" s="416">
        <v>2</v>
      </c>
      <c r="E8" s="416"/>
      <c r="F8" s="421">
        <v>1</v>
      </c>
      <c r="G8" s="421"/>
      <c r="H8" s="81">
        <f t="shared" si="3"/>
        <v>0.125</v>
      </c>
      <c r="I8" s="66">
        <f t="shared" si="4"/>
        <v>0.5</v>
      </c>
      <c r="K8" s="108" t="s">
        <v>163</v>
      </c>
      <c r="L8">
        <v>44</v>
      </c>
      <c r="M8">
        <v>8</v>
      </c>
      <c r="N8" s="66">
        <f t="shared" si="0"/>
        <v>0.18181818181818182</v>
      </c>
    </row>
    <row r="9" spans="1:14">
      <c r="A9" s="644"/>
      <c r="B9" s="108" t="s">
        <v>25</v>
      </c>
      <c r="C9" s="449">
        <v>26</v>
      </c>
      <c r="D9" s="416">
        <v>9</v>
      </c>
      <c r="E9" s="416">
        <v>1</v>
      </c>
      <c r="F9" s="421">
        <v>1</v>
      </c>
      <c r="G9" s="421"/>
      <c r="H9" s="81">
        <f t="shared" si="3"/>
        <v>7.6923076923076927E-2</v>
      </c>
      <c r="I9" s="66">
        <f t="shared" si="4"/>
        <v>0.22222222222222221</v>
      </c>
      <c r="K9" s="108" t="s">
        <v>164</v>
      </c>
      <c r="L9">
        <v>32</v>
      </c>
      <c r="M9">
        <v>2</v>
      </c>
      <c r="N9" s="66">
        <f t="shared" si="0"/>
        <v>6.25E-2</v>
      </c>
    </row>
    <row r="10" spans="1:14">
      <c r="A10" s="114" t="s">
        <v>9</v>
      </c>
      <c r="B10" s="114"/>
      <c r="C10" s="446">
        <f t="shared" ref="C10" si="5">SUM(C8:C9)</f>
        <v>34</v>
      </c>
      <c r="D10" s="415">
        <f t="shared" ref="D10:G10" si="6">SUM(D8:D9)</f>
        <v>11</v>
      </c>
      <c r="E10" s="415">
        <f t="shared" si="6"/>
        <v>1</v>
      </c>
      <c r="F10" s="417">
        <f t="shared" si="6"/>
        <v>2</v>
      </c>
      <c r="G10" s="417">
        <f t="shared" si="6"/>
        <v>0</v>
      </c>
      <c r="H10" s="393">
        <f t="shared" si="3"/>
        <v>8.8235294117647065E-2</v>
      </c>
      <c r="I10" s="467">
        <f t="shared" si="4"/>
        <v>0.27272727272727271</v>
      </c>
      <c r="K10" s="108" t="s">
        <v>165</v>
      </c>
      <c r="L10">
        <v>49</v>
      </c>
      <c r="M10">
        <v>6</v>
      </c>
      <c r="N10" s="66">
        <f t="shared" si="0"/>
        <v>0.12244897959183673</v>
      </c>
    </row>
    <row r="11" spans="1:14">
      <c r="A11" s="644" t="s">
        <v>268</v>
      </c>
      <c r="B11" s="108" t="s">
        <v>24</v>
      </c>
      <c r="C11" s="449">
        <v>12</v>
      </c>
      <c r="D11" s="416">
        <v>5</v>
      </c>
      <c r="E11" s="416"/>
      <c r="F11" s="421">
        <v>1</v>
      </c>
      <c r="G11" s="421">
        <v>1</v>
      </c>
      <c r="H11" s="81">
        <f t="shared" si="3"/>
        <v>0.16666666666666666</v>
      </c>
      <c r="I11" s="66">
        <f t="shared" si="4"/>
        <v>0.4</v>
      </c>
      <c r="K11" s="108" t="s">
        <v>166</v>
      </c>
      <c r="L11">
        <v>31</v>
      </c>
      <c r="M11">
        <v>4</v>
      </c>
      <c r="N11" s="66">
        <f t="shared" si="0"/>
        <v>0.12903225806451613</v>
      </c>
    </row>
    <row r="12" spans="1:14">
      <c r="A12" s="644"/>
      <c r="B12" s="108" t="s">
        <v>25</v>
      </c>
      <c r="C12" s="449">
        <v>29</v>
      </c>
      <c r="D12" s="416">
        <v>9</v>
      </c>
      <c r="E12" s="416">
        <v>1</v>
      </c>
      <c r="F12" s="421">
        <v>3</v>
      </c>
      <c r="G12" s="421"/>
      <c r="H12" s="81">
        <f t="shared" si="3"/>
        <v>0.13793103448275862</v>
      </c>
      <c r="I12" s="66">
        <f t="shared" si="4"/>
        <v>0.44444444444444442</v>
      </c>
      <c r="K12" s="108" t="s">
        <v>175</v>
      </c>
      <c r="L12">
        <v>5</v>
      </c>
      <c r="N12" s="66">
        <f t="shared" si="0"/>
        <v>0</v>
      </c>
    </row>
    <row r="13" spans="1:14">
      <c r="A13" s="114" t="s">
        <v>9</v>
      </c>
      <c r="B13" s="114"/>
      <c r="C13" s="446">
        <f t="shared" ref="C13" si="7">SUM(C11:C12)</f>
        <v>41</v>
      </c>
      <c r="D13" s="415">
        <f t="shared" ref="D13:G13" si="8">SUM(D11:D12)</f>
        <v>14</v>
      </c>
      <c r="E13" s="415">
        <f t="shared" si="8"/>
        <v>1</v>
      </c>
      <c r="F13" s="417">
        <f t="shared" si="8"/>
        <v>4</v>
      </c>
      <c r="G13" s="417">
        <f t="shared" si="8"/>
        <v>1</v>
      </c>
      <c r="H13" s="393">
        <f t="shared" si="3"/>
        <v>0.14634146341463414</v>
      </c>
      <c r="I13" s="467">
        <f t="shared" si="4"/>
        <v>0.42857142857142855</v>
      </c>
      <c r="K13" s="111" t="s">
        <v>9</v>
      </c>
      <c r="L13" s="111">
        <f>SUM(L4:L12)</f>
        <v>193</v>
      </c>
      <c r="M13" s="111">
        <f t="shared" ref="M13" si="9">SUM(M4:M12)</f>
        <v>27</v>
      </c>
      <c r="N13" s="467">
        <f>M13/L13</f>
        <v>0.13989637305699482</v>
      </c>
    </row>
    <row r="14" spans="1:14">
      <c r="A14" s="644" t="s">
        <v>269</v>
      </c>
      <c r="B14" s="108" t="s">
        <v>24</v>
      </c>
      <c r="C14" s="33">
        <v>8</v>
      </c>
      <c r="D14" s="645">
        <v>6</v>
      </c>
      <c r="E14" s="416">
        <v>3</v>
      </c>
      <c r="G14" s="421"/>
      <c r="H14" s="81">
        <f t="shared" si="3"/>
        <v>0.375</v>
      </c>
      <c r="I14" s="66">
        <f>IFERROR(SUM(E14:G14)/D14,"")</f>
        <v>0.5</v>
      </c>
    </row>
    <row r="15" spans="1:14">
      <c r="A15" s="644"/>
      <c r="B15" s="108" t="s">
        <v>25</v>
      </c>
      <c r="C15" s="33">
        <v>10</v>
      </c>
      <c r="D15" s="645"/>
      <c r="E15" s="416">
        <v>1</v>
      </c>
      <c r="F15" s="421">
        <v>2</v>
      </c>
      <c r="G15" s="421"/>
      <c r="H15" s="81">
        <f t="shared" si="3"/>
        <v>0.3</v>
      </c>
      <c r="I15" s="66">
        <f>IFERROR(SUM(E15:G15)/D14,"")</f>
        <v>0.5</v>
      </c>
    </row>
    <row r="16" spans="1:14">
      <c r="A16" s="114" t="s">
        <v>9</v>
      </c>
      <c r="B16" s="114"/>
      <c r="C16" s="446">
        <f t="shared" ref="C16" si="10">SUM(C14:C15)</f>
        <v>18</v>
      </c>
      <c r="D16" s="415">
        <f t="shared" ref="D16:G16" si="11">SUM(D14:D15)</f>
        <v>6</v>
      </c>
      <c r="E16" s="415">
        <f t="shared" si="11"/>
        <v>4</v>
      </c>
      <c r="F16" s="417">
        <f t="shared" si="11"/>
        <v>2</v>
      </c>
      <c r="G16" s="417">
        <f t="shared" si="11"/>
        <v>0</v>
      </c>
      <c r="H16" s="393">
        <f t="shared" si="3"/>
        <v>0.33333333333333331</v>
      </c>
      <c r="I16" s="467">
        <f t="shared" si="4"/>
        <v>1</v>
      </c>
    </row>
    <row r="17" spans="1:9">
      <c r="A17" s="644" t="s">
        <v>271</v>
      </c>
      <c r="B17" s="108" t="s">
        <v>24</v>
      </c>
      <c r="C17" s="33">
        <v>37</v>
      </c>
      <c r="D17" s="645">
        <v>25</v>
      </c>
      <c r="E17" s="416">
        <v>1</v>
      </c>
      <c r="G17" s="421">
        <v>3</v>
      </c>
      <c r="H17" s="81">
        <f t="shared" si="3"/>
        <v>0.10810810810810811</v>
      </c>
      <c r="I17" s="66">
        <f t="shared" si="4"/>
        <v>0.16</v>
      </c>
    </row>
    <row r="18" spans="1:9">
      <c r="A18" s="644"/>
      <c r="B18" s="108" t="s">
        <v>25</v>
      </c>
      <c r="C18" s="33">
        <v>44</v>
      </c>
      <c r="D18" s="645"/>
      <c r="E18" s="416">
        <v>4</v>
      </c>
      <c r="G18" s="421">
        <v>2</v>
      </c>
      <c r="H18" s="81">
        <f t="shared" si="3"/>
        <v>0.13636363636363635</v>
      </c>
      <c r="I18" s="66">
        <f>IFERROR(SUM(E18:G18)/D17,"")</f>
        <v>0.24</v>
      </c>
    </row>
    <row r="19" spans="1:9">
      <c r="A19" s="114" t="s">
        <v>9</v>
      </c>
      <c r="B19" s="114"/>
      <c r="C19" s="446">
        <f t="shared" ref="C19" si="12">SUM(C17:C18)</f>
        <v>81</v>
      </c>
      <c r="D19" s="415">
        <f t="shared" ref="D19:E19" si="13">SUM(D17:D18)</f>
        <v>25</v>
      </c>
      <c r="E19" s="415">
        <f t="shared" si="13"/>
        <v>5</v>
      </c>
      <c r="F19" s="417">
        <f t="shared" ref="F19:G19" si="14">SUM(F17:F18)</f>
        <v>0</v>
      </c>
      <c r="G19" s="417">
        <f t="shared" si="14"/>
        <v>5</v>
      </c>
      <c r="H19" s="393">
        <f t="shared" si="3"/>
        <v>0.12345679012345678</v>
      </c>
      <c r="I19" s="467">
        <f t="shared" si="4"/>
        <v>0.4</v>
      </c>
    </row>
    <row r="20" spans="1:9">
      <c r="A20" s="642" t="s">
        <v>211</v>
      </c>
      <c r="B20" s="642"/>
      <c r="C20" s="448">
        <f t="shared" ref="C20" si="15">SUM(C19,C16,C13,C10,C7)</f>
        <v>193</v>
      </c>
      <c r="D20" s="414">
        <f t="shared" ref="D20:E20" si="16">SUM(D19,D16,D13,D10,D7)</f>
        <v>60</v>
      </c>
      <c r="E20" s="414">
        <f t="shared" si="16"/>
        <v>12</v>
      </c>
      <c r="F20" s="418">
        <f t="shared" ref="F20:G20" si="17">SUM(F19,F16,F13,F10,F7)</f>
        <v>9</v>
      </c>
      <c r="G20" s="418">
        <f t="shared" si="17"/>
        <v>6</v>
      </c>
      <c r="H20" s="466">
        <f t="shared" si="3"/>
        <v>0.13989637305699482</v>
      </c>
      <c r="I20" s="468">
        <f t="shared" si="4"/>
        <v>0.45</v>
      </c>
    </row>
    <row r="22" spans="1:9" ht="15.75">
      <c r="A22" s="13" t="s">
        <v>270</v>
      </c>
    </row>
    <row r="23" spans="1:9">
      <c r="C23"/>
      <c r="D23"/>
      <c r="E23"/>
      <c r="F23"/>
    </row>
    <row r="24" spans="1:9" ht="58.5" customHeight="1">
      <c r="C24" s="447" t="s">
        <v>263</v>
      </c>
      <c r="D24" s="447" t="s">
        <v>231</v>
      </c>
      <c r="E24" s="471" t="s">
        <v>669</v>
      </c>
      <c r="F24"/>
      <c r="G24" s="465"/>
      <c r="H24" s="456" t="s">
        <v>238</v>
      </c>
    </row>
    <row r="25" spans="1:9">
      <c r="A25" s="644" t="s">
        <v>663</v>
      </c>
      <c r="B25" s="108" t="s">
        <v>24</v>
      </c>
      <c r="C25"/>
      <c r="D25" s="449">
        <v>4</v>
      </c>
      <c r="E25" s="80" t="str">
        <f>IFERROR(D25/C25,"")</f>
        <v/>
      </c>
      <c r="F25"/>
      <c r="G25" s="108" t="s">
        <v>159</v>
      </c>
    </row>
    <row r="26" spans="1:9">
      <c r="A26" s="644"/>
      <c r="B26" s="108" t="s">
        <v>25</v>
      </c>
      <c r="C26"/>
      <c r="D26" s="449">
        <v>2</v>
      </c>
      <c r="E26" s="80" t="str">
        <f>IFERROR(D26/C25,"")</f>
        <v/>
      </c>
      <c r="F26"/>
      <c r="G26" s="108" t="s">
        <v>160</v>
      </c>
    </row>
    <row r="27" spans="1:9">
      <c r="A27" s="446" t="s">
        <v>9</v>
      </c>
      <c r="B27" s="446"/>
      <c r="C27" s="446">
        <f t="shared" ref="C27:D27" si="18">SUM(C25:C26)</f>
        <v>0</v>
      </c>
      <c r="D27" s="446">
        <f t="shared" si="18"/>
        <v>6</v>
      </c>
      <c r="E27" s="469" t="str">
        <f>IFERROR(D27/C27,"")</f>
        <v/>
      </c>
      <c r="F27"/>
      <c r="G27" s="108" t="s">
        <v>161</v>
      </c>
    </row>
    <row r="28" spans="1:9">
      <c r="A28" s="644" t="s">
        <v>664</v>
      </c>
      <c r="B28" s="108" t="s">
        <v>24</v>
      </c>
      <c r="C28" s="645">
        <v>16</v>
      </c>
      <c r="D28" s="449">
        <v>2</v>
      </c>
      <c r="E28" s="80">
        <f>IFERROR(D28/C28,"")</f>
        <v>0.125</v>
      </c>
      <c r="F28"/>
      <c r="G28" s="108" t="s">
        <v>162</v>
      </c>
    </row>
    <row r="29" spans="1:9">
      <c r="A29" s="644"/>
      <c r="B29" s="108" t="s">
        <v>25</v>
      </c>
      <c r="C29" s="645"/>
      <c r="D29" s="449">
        <v>3</v>
      </c>
      <c r="E29" s="80">
        <f>IFERROR(D29/C28,"")</f>
        <v>0.1875</v>
      </c>
      <c r="F29"/>
      <c r="G29" s="108" t="s">
        <v>163</v>
      </c>
      <c r="H29">
        <v>8</v>
      </c>
    </row>
    <row r="30" spans="1:9">
      <c r="A30" s="446" t="s">
        <v>9</v>
      </c>
      <c r="B30" s="446"/>
      <c r="C30" s="446">
        <f t="shared" ref="C30:D30" si="19">SUM(C28:C29)</f>
        <v>16</v>
      </c>
      <c r="D30" s="446">
        <f t="shared" si="19"/>
        <v>5</v>
      </c>
      <c r="E30" s="469">
        <f>IFERROR(D30/C30,"")</f>
        <v>0.3125</v>
      </c>
      <c r="F30"/>
      <c r="G30" s="108" t="s">
        <v>164</v>
      </c>
      <c r="H30">
        <v>7</v>
      </c>
    </row>
    <row r="31" spans="1:9">
      <c r="A31" s="644" t="s">
        <v>665</v>
      </c>
      <c r="B31" s="108" t="s">
        <v>24</v>
      </c>
      <c r="C31" s="645">
        <v>10</v>
      </c>
      <c r="D31" s="449"/>
      <c r="E31" s="80">
        <f>IFERROR(D31/C31,"")</f>
        <v>0</v>
      </c>
      <c r="F31"/>
      <c r="G31" s="108" t="s">
        <v>165</v>
      </c>
      <c r="H31">
        <v>6</v>
      </c>
    </row>
    <row r="32" spans="1:9">
      <c r="A32" s="644"/>
      <c r="B32" s="108" t="s">
        <v>25</v>
      </c>
      <c r="C32" s="645"/>
      <c r="D32" s="449"/>
      <c r="E32" s="80">
        <f>IFERROR(D32/C31,"")</f>
        <v>0</v>
      </c>
      <c r="F32"/>
      <c r="G32" s="108" t="s">
        <v>166</v>
      </c>
    </row>
    <row r="33" spans="1:8">
      <c r="A33" s="446" t="s">
        <v>9</v>
      </c>
      <c r="B33" s="446"/>
      <c r="C33" s="446">
        <f t="shared" ref="C33:D33" si="20">SUM(C31:C32)</f>
        <v>10</v>
      </c>
      <c r="D33" s="446">
        <f t="shared" si="20"/>
        <v>0</v>
      </c>
      <c r="E33" s="469">
        <f>IFERROR(D33/C33,"")</f>
        <v>0</v>
      </c>
      <c r="F33"/>
      <c r="G33" s="108" t="s">
        <v>175</v>
      </c>
    </row>
    <row r="34" spans="1:8">
      <c r="A34" s="644" t="s">
        <v>666</v>
      </c>
      <c r="B34" s="108" t="s">
        <v>24</v>
      </c>
      <c r="C34" s="645">
        <v>14</v>
      </c>
      <c r="D34" s="449">
        <v>1</v>
      </c>
      <c r="E34" s="80">
        <f>IFERROR(D34/C34,"")</f>
        <v>7.1428571428571425E-2</v>
      </c>
      <c r="F34"/>
      <c r="G34" s="111" t="s">
        <v>9</v>
      </c>
      <c r="H34" s="111">
        <f t="shared" ref="H34" si="21">SUM(H25:H33)</f>
        <v>21</v>
      </c>
    </row>
    <row r="35" spans="1:8">
      <c r="A35" s="644"/>
      <c r="B35" s="108" t="s">
        <v>25</v>
      </c>
      <c r="C35" s="645"/>
      <c r="D35" s="449"/>
      <c r="E35" s="80">
        <f>IFERROR(D35/C34,"")</f>
        <v>0</v>
      </c>
      <c r="F35"/>
    </row>
    <row r="36" spans="1:8">
      <c r="A36" s="446" t="s">
        <v>9</v>
      </c>
      <c r="B36" s="446"/>
      <c r="C36" s="446">
        <f t="shared" ref="C36:D36" si="22">SUM(C34:C35)</f>
        <v>14</v>
      </c>
      <c r="D36" s="446">
        <f t="shared" si="22"/>
        <v>1</v>
      </c>
      <c r="E36" s="469">
        <f>IFERROR(D36/C36,"")</f>
        <v>7.1428571428571425E-2</v>
      </c>
      <c r="F36"/>
    </row>
    <row r="37" spans="1:8">
      <c r="A37" s="644" t="s">
        <v>667</v>
      </c>
      <c r="B37" s="108" t="s">
        <v>24</v>
      </c>
      <c r="C37"/>
      <c r="D37" s="449">
        <v>2</v>
      </c>
      <c r="E37" s="80" t="str">
        <f>IFERROR(D37/C37,"")</f>
        <v/>
      </c>
      <c r="F37"/>
    </row>
    <row r="38" spans="1:8">
      <c r="A38" s="644"/>
      <c r="B38" s="108" t="s">
        <v>25</v>
      </c>
      <c r="C38"/>
      <c r="D38" s="449">
        <v>3</v>
      </c>
      <c r="E38" s="80" t="str">
        <f>IFERROR(D38/C37,"")</f>
        <v/>
      </c>
      <c r="F38"/>
    </row>
    <row r="39" spans="1:8">
      <c r="A39" s="446" t="s">
        <v>9</v>
      </c>
      <c r="B39" s="446"/>
      <c r="C39" s="446">
        <f t="shared" ref="C39:D39" si="23">SUM(C37:C38)</f>
        <v>0</v>
      </c>
      <c r="D39" s="446">
        <f t="shared" si="23"/>
        <v>5</v>
      </c>
      <c r="E39" s="469" t="str">
        <f>IFERROR(D39/C39,"")</f>
        <v/>
      </c>
      <c r="F39"/>
    </row>
    <row r="40" spans="1:8">
      <c r="A40" s="644" t="s">
        <v>668</v>
      </c>
      <c r="B40" s="108" t="s">
        <v>24</v>
      </c>
      <c r="C40" s="645">
        <v>19</v>
      </c>
      <c r="D40" s="449">
        <v>2</v>
      </c>
      <c r="E40" s="80">
        <f>IFERROR(D40/C40,"")</f>
        <v>0.10526315789473684</v>
      </c>
      <c r="F40"/>
    </row>
    <row r="41" spans="1:8">
      <c r="A41" s="644"/>
      <c r="B41" s="108" t="s">
        <v>25</v>
      </c>
      <c r="C41" s="645"/>
      <c r="D41" s="449">
        <v>2</v>
      </c>
      <c r="E41" s="80">
        <f>IFERROR(D41/C40,"")</f>
        <v>0.10526315789473684</v>
      </c>
      <c r="F41"/>
    </row>
    <row r="42" spans="1:8">
      <c r="A42" s="446" t="s">
        <v>9</v>
      </c>
      <c r="B42" s="446"/>
      <c r="C42" s="446">
        <f t="shared" ref="C42:D42" si="24">SUM(C40:C41)</f>
        <v>19</v>
      </c>
      <c r="D42" s="446">
        <f t="shared" si="24"/>
        <v>4</v>
      </c>
      <c r="E42" s="469">
        <f>IFERROR(D42/C42,"")</f>
        <v>0.21052631578947367</v>
      </c>
      <c r="F42"/>
    </row>
    <row r="43" spans="1:8">
      <c r="A43" s="642" t="s">
        <v>211</v>
      </c>
      <c r="B43" s="642"/>
      <c r="C43" s="448">
        <f>SUM(C42,C39,C36,C33,C30,C27)</f>
        <v>59</v>
      </c>
      <c r="D43" s="448">
        <f>SUM(D42,D39,D36,D33,D30,D27)</f>
        <v>21</v>
      </c>
      <c r="E43" s="470">
        <v>0.3125</v>
      </c>
      <c r="F43"/>
    </row>
    <row r="44" spans="1:8">
      <c r="C44"/>
      <c r="D44"/>
      <c r="E44"/>
      <c r="F44"/>
    </row>
    <row r="45" spans="1:8">
      <c r="C45"/>
      <c r="D45"/>
      <c r="E45"/>
      <c r="F45"/>
    </row>
    <row r="46" spans="1:8">
      <c r="C46"/>
      <c r="D46"/>
      <c r="E46"/>
      <c r="F46"/>
    </row>
    <row r="47" spans="1:8">
      <c r="C47"/>
      <c r="D47"/>
      <c r="E47"/>
      <c r="F47"/>
    </row>
    <row r="48" spans="1:8">
      <c r="C48"/>
      <c r="D48"/>
      <c r="E48"/>
      <c r="F48"/>
    </row>
    <row r="49" spans="3:6">
      <c r="C49"/>
      <c r="D49"/>
      <c r="E49"/>
      <c r="F49"/>
    </row>
    <row r="57" spans="3:6">
      <c r="C57"/>
      <c r="D57"/>
      <c r="E57"/>
      <c r="F57"/>
    </row>
    <row r="58" spans="3:6">
      <c r="C58"/>
      <c r="D58"/>
      <c r="E58"/>
      <c r="F58"/>
    </row>
    <row r="59" spans="3:6">
      <c r="C59"/>
      <c r="D59"/>
      <c r="E59"/>
      <c r="F59"/>
    </row>
    <row r="60" spans="3:6" ht="15" customHeight="1">
      <c r="C60"/>
      <c r="D60"/>
      <c r="E60"/>
      <c r="F60"/>
    </row>
    <row r="61" spans="3:6">
      <c r="C61"/>
      <c r="D61"/>
      <c r="E61"/>
      <c r="F61"/>
    </row>
    <row r="62" spans="3:6">
      <c r="C62"/>
      <c r="D62"/>
      <c r="E62"/>
      <c r="F62"/>
    </row>
    <row r="63" spans="3:6" ht="15" customHeight="1">
      <c r="C63"/>
      <c r="D63"/>
      <c r="E63"/>
      <c r="F63"/>
    </row>
    <row r="64" spans="3:6">
      <c r="C64"/>
      <c r="D64"/>
      <c r="E64"/>
      <c r="F64"/>
    </row>
    <row r="65" spans="3:6">
      <c r="C65"/>
      <c r="D65"/>
      <c r="E65"/>
      <c r="F65"/>
    </row>
    <row r="66" spans="3:6" ht="15" customHeight="1">
      <c r="C66"/>
      <c r="D66"/>
      <c r="E66"/>
      <c r="F66"/>
    </row>
    <row r="67" spans="3:6">
      <c r="C67"/>
      <c r="D67"/>
      <c r="E67"/>
      <c r="F67"/>
    </row>
    <row r="68" spans="3:6">
      <c r="C68"/>
      <c r="D68"/>
      <c r="E68"/>
      <c r="F68"/>
    </row>
    <row r="69" spans="3:6">
      <c r="C69"/>
      <c r="D69"/>
      <c r="E69"/>
      <c r="F69"/>
    </row>
    <row r="70" spans="3:6">
      <c r="C70"/>
      <c r="D70"/>
      <c r="E70"/>
      <c r="F70"/>
    </row>
    <row r="71" spans="3:6">
      <c r="C71"/>
      <c r="D71"/>
      <c r="E71"/>
      <c r="F71"/>
    </row>
    <row r="72" spans="3:6">
      <c r="C72"/>
      <c r="D72"/>
      <c r="E72"/>
      <c r="F72"/>
    </row>
    <row r="73" spans="3:6">
      <c r="C73"/>
      <c r="D73"/>
      <c r="E73"/>
      <c r="F73"/>
    </row>
    <row r="74" spans="3:6">
      <c r="C74"/>
      <c r="D74"/>
      <c r="E74"/>
      <c r="F74"/>
    </row>
    <row r="75" spans="3:6">
      <c r="C75"/>
      <c r="D75"/>
      <c r="E75"/>
      <c r="F75"/>
    </row>
    <row r="76" spans="3:6">
      <c r="C76"/>
      <c r="D76"/>
      <c r="E76"/>
      <c r="F76"/>
    </row>
    <row r="77" spans="3:6">
      <c r="C77"/>
      <c r="D77"/>
      <c r="E77"/>
      <c r="F77"/>
    </row>
    <row r="78" spans="3:6">
      <c r="C78"/>
      <c r="D78"/>
      <c r="E78"/>
      <c r="F78"/>
    </row>
    <row r="79" spans="3:6">
      <c r="C79"/>
      <c r="D79"/>
      <c r="E79"/>
      <c r="F79"/>
    </row>
    <row r="80" spans="3:6">
      <c r="C80"/>
      <c r="D80"/>
      <c r="E80"/>
      <c r="F80"/>
    </row>
    <row r="81" spans="3:6">
      <c r="C81"/>
      <c r="D81"/>
      <c r="E81"/>
      <c r="F81"/>
    </row>
    <row r="82" spans="3:6">
      <c r="C82"/>
      <c r="D82"/>
      <c r="E82"/>
      <c r="F82"/>
    </row>
    <row r="83" spans="3:6">
      <c r="C83"/>
      <c r="D83"/>
      <c r="E83"/>
      <c r="F83"/>
    </row>
    <row r="84" spans="3:6">
      <c r="C84"/>
      <c r="D84"/>
      <c r="E84"/>
      <c r="F84"/>
    </row>
    <row r="85" spans="3:6">
      <c r="C85"/>
      <c r="D85"/>
      <c r="E85"/>
      <c r="F85"/>
    </row>
    <row r="86" spans="3:6">
      <c r="C86"/>
      <c r="D86"/>
      <c r="E86"/>
      <c r="F86"/>
    </row>
    <row r="87" spans="3:6">
      <c r="C87"/>
      <c r="D87"/>
      <c r="E87"/>
      <c r="F87"/>
    </row>
    <row r="88" spans="3:6">
      <c r="C88"/>
      <c r="D88"/>
      <c r="E88"/>
      <c r="F88"/>
    </row>
    <row r="89" spans="3:6">
      <c r="C89"/>
      <c r="D89"/>
      <c r="E89"/>
      <c r="F89"/>
    </row>
    <row r="90" spans="3:6">
      <c r="C90"/>
      <c r="D90"/>
      <c r="E90"/>
      <c r="F90"/>
    </row>
    <row r="91" spans="3:6">
      <c r="C91"/>
      <c r="D91"/>
      <c r="E91"/>
      <c r="F91"/>
    </row>
  </sheetData>
  <mergeCells count="24">
    <mergeCell ref="C40:C41"/>
    <mergeCell ref="A43:B43"/>
    <mergeCell ref="C3:C4"/>
    <mergeCell ref="D3:D4"/>
    <mergeCell ref="C28:C29"/>
    <mergeCell ref="C31:C32"/>
    <mergeCell ref="C34:C35"/>
    <mergeCell ref="A11:A12"/>
    <mergeCell ref="A14:A15"/>
    <mergeCell ref="A17:A18"/>
    <mergeCell ref="A40:A41"/>
    <mergeCell ref="A31:A32"/>
    <mergeCell ref="A34:A35"/>
    <mergeCell ref="D14:D15"/>
    <mergeCell ref="D17:D18"/>
    <mergeCell ref="A37:A38"/>
    <mergeCell ref="A28:A29"/>
    <mergeCell ref="A25:A26"/>
    <mergeCell ref="A20:B20"/>
    <mergeCell ref="E3:G3"/>
    <mergeCell ref="I3:I4"/>
    <mergeCell ref="H3:H4"/>
    <mergeCell ref="A5:A6"/>
    <mergeCell ref="A8:A9"/>
  </mergeCells>
  <pageMargins left="0.25" right="0.25" top="0.75" bottom="0.75" header="0.3" footer="0.3"/>
  <pageSetup paperSize="9" scale="69" fitToHeight="0" orientation="landscape" horizontalDpi="4294967293" r:id="rId1"/>
  <headerFooter>
    <oddHeader>&amp;C&amp;"-,Gras"Chapitre II - Parcours professionnel
3. Avancement Enseignant</oddHeader>
    <oddFooter>&amp;C&amp;"-,Gras"Base de Données Sociales 2023&amp;R&amp;P</oddFooter>
  </headerFooter>
  <rowBreaks count="1" manualBreakCount="1">
    <brk id="21" max="16383" man="1"/>
  </rowBreaks>
  <ignoredErrors>
    <ignoredError sqref="I15 I18 E26:E4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E25D-E9E4-4ED2-B61B-F0AEBB7CFBC1}">
  <sheetPr codeName="Feuil12">
    <tabColor rgb="FF92D050"/>
  </sheetPr>
  <dimension ref="B1:F13"/>
  <sheetViews>
    <sheetView showGridLines="0" view="pageLayout" topLeftCell="A4" zoomScaleNormal="100" workbookViewId="0">
      <selection activeCell="A14" sqref="A14:XFD30"/>
    </sheetView>
  </sheetViews>
  <sheetFormatPr baseColWidth="10" defaultColWidth="11.42578125" defaultRowHeight="15"/>
  <cols>
    <col min="3" max="3" width="13.5703125" bestFit="1" customWidth="1"/>
    <col min="4" max="5" width="18.28515625" bestFit="1" customWidth="1"/>
    <col min="6" max="6" width="18.28515625" customWidth="1"/>
  </cols>
  <sheetData>
    <row r="1" spans="2:6" ht="15.75">
      <c r="B1" s="13" t="s">
        <v>2</v>
      </c>
    </row>
    <row r="2" spans="2:6" ht="5.25" customHeight="1">
      <c r="B2" s="13"/>
    </row>
    <row r="3" spans="2:6">
      <c r="B3" s="14"/>
      <c r="C3" s="14"/>
      <c r="D3" s="117" t="s">
        <v>272</v>
      </c>
      <c r="E3" s="117" t="s">
        <v>273</v>
      </c>
      <c r="F3" s="105" t="s">
        <v>10</v>
      </c>
    </row>
    <row r="4" spans="2:6">
      <c r="B4" s="647" t="s">
        <v>210</v>
      </c>
      <c r="C4" s="117" t="s">
        <v>6</v>
      </c>
      <c r="D4" s="126">
        <v>644.15</v>
      </c>
      <c r="E4" s="126"/>
      <c r="F4" s="451">
        <f>SUM(D4:E4)</f>
        <v>644.15</v>
      </c>
    </row>
    <row r="5" spans="2:6">
      <c r="B5" s="647"/>
      <c r="C5" s="117" t="s">
        <v>7</v>
      </c>
      <c r="D5" s="126">
        <v>8</v>
      </c>
      <c r="E5" s="126">
        <v>10.8</v>
      </c>
      <c r="F5" s="451">
        <f t="shared" ref="F5:F12" si="0">SUM(D5:E5)</f>
        <v>18.8</v>
      </c>
    </row>
    <row r="6" spans="2:6">
      <c r="B6" s="647"/>
      <c r="C6" s="117" t="s">
        <v>8</v>
      </c>
      <c r="D6" s="126">
        <v>171.09</v>
      </c>
      <c r="E6" s="126">
        <v>115.8</v>
      </c>
      <c r="F6" s="451">
        <f t="shared" si="0"/>
        <v>286.89</v>
      </c>
    </row>
    <row r="7" spans="2:6">
      <c r="B7" s="647"/>
      <c r="C7" s="453" t="s">
        <v>9</v>
      </c>
      <c r="D7" s="453">
        <f>SUM(D4:D6)</f>
        <v>823.24</v>
      </c>
      <c r="E7" s="453">
        <f>SUM(E4:E6)</f>
        <v>126.6</v>
      </c>
      <c r="F7" s="453">
        <f t="shared" si="0"/>
        <v>949.84</v>
      </c>
    </row>
    <row r="8" spans="2:6" ht="21.75" customHeight="1">
      <c r="B8" s="646" t="s">
        <v>5</v>
      </c>
      <c r="C8" s="117" t="s">
        <v>6</v>
      </c>
      <c r="D8" s="531">
        <v>387.97</v>
      </c>
      <c r="E8" s="531"/>
      <c r="F8" s="451">
        <f t="shared" si="0"/>
        <v>387.97</v>
      </c>
    </row>
    <row r="9" spans="2:6" ht="21.75" customHeight="1">
      <c r="B9" s="646"/>
      <c r="C9" s="117" t="s">
        <v>7</v>
      </c>
      <c r="D9" s="531">
        <v>66.989999999999995</v>
      </c>
      <c r="E9" s="531">
        <v>30.7</v>
      </c>
      <c r="F9" s="451">
        <f t="shared" si="0"/>
        <v>97.69</v>
      </c>
    </row>
    <row r="10" spans="2:6" ht="21.75" customHeight="1">
      <c r="B10" s="646"/>
      <c r="C10" s="117" t="s">
        <v>8</v>
      </c>
      <c r="D10" s="531">
        <v>108.7</v>
      </c>
      <c r="E10" s="531">
        <v>58</v>
      </c>
      <c r="F10" s="451">
        <f t="shared" si="0"/>
        <v>166.7</v>
      </c>
    </row>
    <row r="11" spans="2:6" ht="21.75" customHeight="1">
      <c r="B11" s="646"/>
      <c r="C11" s="453" t="s">
        <v>9</v>
      </c>
      <c r="D11" s="453">
        <f>SUM(D8:D10)</f>
        <v>563.66000000000008</v>
      </c>
      <c r="E11" s="453">
        <f>SUM(E8:E10)</f>
        <v>88.7</v>
      </c>
      <c r="F11" s="453">
        <f t="shared" si="0"/>
        <v>652.36000000000013</v>
      </c>
    </row>
    <row r="12" spans="2:6">
      <c r="B12" s="602" t="s">
        <v>10</v>
      </c>
      <c r="C12" s="602"/>
      <c r="D12" s="451">
        <f>D11+D7</f>
        <v>1386.9</v>
      </c>
      <c r="E12" s="451">
        <f>E11+E7</f>
        <v>215.3</v>
      </c>
      <c r="F12" s="451">
        <f t="shared" si="0"/>
        <v>1602.2</v>
      </c>
    </row>
    <row r="13" spans="2:6" ht="6" customHeight="1"/>
  </sheetData>
  <mergeCells count="3">
    <mergeCell ref="B8:B11"/>
    <mergeCell ref="B4:B7"/>
    <mergeCell ref="B12:C12"/>
  </mergeCells>
  <pageMargins left="0.25" right="0.25" top="0.75" bottom="0.75" header="0.3" footer="0.3"/>
  <pageSetup paperSize="9" orientation="landscape" r:id="rId1"/>
  <headerFooter>
    <oddHeader>&amp;C&amp;"-,Gras"Chapitre III - Emploi - Masse salariale
1. Plafond d'emploi</oddHeader>
    <oddFooter>&amp;C&amp;"-,Gras"Base de Données Sociales 2023&amp;R&amp;P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53F9-7E10-448A-8C4E-2818F324F1A9}">
  <sheetPr codeName="Feuil13">
    <tabColor rgb="FF92D050"/>
  </sheetPr>
  <dimension ref="A1:D16"/>
  <sheetViews>
    <sheetView showGridLines="0" view="pageLayout" topLeftCell="A7" zoomScale="80" zoomScaleNormal="100" zoomScalePageLayoutView="80" workbookViewId="0">
      <selection activeCell="A15" sqref="A15"/>
    </sheetView>
  </sheetViews>
  <sheetFormatPr baseColWidth="10" defaultRowHeight="15"/>
  <cols>
    <col min="2" max="2" width="27" bestFit="1" customWidth="1"/>
    <col min="3" max="3" width="24.85546875" bestFit="1" customWidth="1"/>
    <col min="4" max="4" width="17.85546875" bestFit="1" customWidth="1"/>
  </cols>
  <sheetData>
    <row r="1" spans="1:4" ht="15.75">
      <c r="A1" s="13" t="s">
        <v>274</v>
      </c>
    </row>
    <row r="2" spans="1:4" ht="8.25" customHeight="1">
      <c r="A2" s="13"/>
    </row>
    <row r="3" spans="1:4">
      <c r="B3" s="118" t="s">
        <v>24</v>
      </c>
      <c r="C3" s="118" t="s">
        <v>25</v>
      </c>
      <c r="D3" s="123" t="s">
        <v>10</v>
      </c>
    </row>
    <row r="4" spans="1:4">
      <c r="A4" s="118" t="s">
        <v>62</v>
      </c>
      <c r="B4" s="119">
        <v>39661203.080000222</v>
      </c>
      <c r="C4" s="119">
        <v>58378128.460000165</v>
      </c>
      <c r="D4" s="120">
        <f>SUM(B4:C4)</f>
        <v>98039331.540000379</v>
      </c>
    </row>
    <row r="5" spans="1:4">
      <c r="A5" s="118" t="s">
        <v>63</v>
      </c>
      <c r="B5" s="119">
        <v>7809342.1800001869</v>
      </c>
      <c r="C5" s="119">
        <v>2639649.3200000152</v>
      </c>
      <c r="D5" s="120">
        <f t="shared" ref="D5:D8" si="0">SUM(B5:C5)</f>
        <v>10448991.500000201</v>
      </c>
    </row>
    <row r="6" spans="1:4">
      <c r="A6" s="118" t="s">
        <v>64</v>
      </c>
      <c r="B6" s="119">
        <v>7350344.4200003147</v>
      </c>
      <c r="C6" s="119">
        <v>2607370.240000051</v>
      </c>
      <c r="D6" s="120">
        <f t="shared" si="0"/>
        <v>9957714.6600003652</v>
      </c>
    </row>
    <row r="7" spans="1:4">
      <c r="A7" s="118" t="s">
        <v>275</v>
      </c>
      <c r="B7" s="119">
        <v>3021741.1100000208</v>
      </c>
      <c r="C7" s="119">
        <v>2781905.95000003</v>
      </c>
      <c r="D7" s="120">
        <f t="shared" si="0"/>
        <v>5803647.0600000508</v>
      </c>
    </row>
    <row r="8" spans="1:4">
      <c r="A8" s="121" t="s">
        <v>276</v>
      </c>
      <c r="B8" s="120">
        <f>SUM(B4:B7)</f>
        <v>57842630.790000744</v>
      </c>
      <c r="C8" s="120">
        <f>SUM(C4:C7)</f>
        <v>66407053.970000267</v>
      </c>
      <c r="D8" s="120">
        <f t="shared" si="0"/>
        <v>124249684.760001</v>
      </c>
    </row>
    <row r="9" spans="1:4" ht="8.25" customHeight="1"/>
    <row r="10" spans="1:4" ht="15.75">
      <c r="A10" s="13" t="s">
        <v>277</v>
      </c>
    </row>
    <row r="11" spans="1:4" ht="4.5" customHeight="1"/>
    <row r="12" spans="1:4" ht="51.75" customHeight="1">
      <c r="B12" s="122" t="s">
        <v>278</v>
      </c>
      <c r="C12" s="122" t="s">
        <v>279</v>
      </c>
    </row>
    <row r="13" spans="1:4">
      <c r="B13" s="257">
        <v>945867.44</v>
      </c>
      <c r="C13" s="131">
        <v>3</v>
      </c>
    </row>
    <row r="14" spans="1:4" ht="6" customHeight="1"/>
    <row r="16" spans="1:4" ht="6" customHeight="1"/>
  </sheetData>
  <pageMargins left="0.25" right="0.25" top="0.75" bottom="0.75" header="0.3" footer="0.3"/>
  <pageSetup paperSize="9" orientation="landscape" r:id="rId1"/>
  <headerFooter>
    <oddHeader>&amp;C&amp;"-,Gras"Chapitre III - Emploi - Masse salariale
2. Masse salariale</oddHeader>
    <oddFooter>&amp;C&amp;"-,Gras"Base de Données Sociales 2023&amp;R&amp;P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C504-5AAB-4D17-8A19-E0F13B89FDE1}">
  <sheetPr codeName="Feuil14">
    <tabColor rgb="FF92D050"/>
  </sheetPr>
  <dimension ref="B1:K53"/>
  <sheetViews>
    <sheetView showGridLines="0" view="pageLayout" topLeftCell="A28" zoomScale="80" zoomScaleNormal="100" zoomScalePageLayoutView="80" workbookViewId="0">
      <selection activeCell="I9" sqref="H9:I9"/>
    </sheetView>
  </sheetViews>
  <sheetFormatPr baseColWidth="10" defaultRowHeight="15"/>
  <cols>
    <col min="1" max="1" width="2.85546875" customWidth="1"/>
    <col min="2" max="2" width="13.7109375" customWidth="1"/>
    <col min="3" max="5" width="15.28515625" bestFit="1" customWidth="1"/>
    <col min="6" max="6" width="10.85546875" bestFit="1" customWidth="1"/>
    <col min="7" max="7" width="11.85546875" bestFit="1" customWidth="1"/>
    <col min="8" max="8" width="12.85546875" bestFit="1" customWidth="1"/>
    <col min="9" max="9" width="11.28515625" bestFit="1" customWidth="1"/>
    <col min="10" max="11" width="12.85546875" bestFit="1" customWidth="1"/>
    <col min="12" max="12" width="11.85546875" bestFit="1" customWidth="1"/>
    <col min="13" max="13" width="6.5703125" bestFit="1" customWidth="1"/>
    <col min="14" max="14" width="11.28515625" bestFit="1" customWidth="1"/>
  </cols>
  <sheetData>
    <row r="1" spans="2:6" ht="15.75">
      <c r="B1" s="13" t="s">
        <v>280</v>
      </c>
    </row>
    <row r="2" spans="2:6" ht="6.75" customHeight="1"/>
    <row r="3" spans="2:6">
      <c r="B3" s="14" t="s">
        <v>281</v>
      </c>
    </row>
    <row r="4" spans="2:6" ht="3.75" customHeight="1"/>
    <row r="5" spans="2:6">
      <c r="C5" s="118" t="s">
        <v>24</v>
      </c>
      <c r="D5" s="118" t="s">
        <v>25</v>
      </c>
      <c r="E5" s="123" t="s">
        <v>10</v>
      </c>
    </row>
    <row r="6" spans="2:6">
      <c r="B6" s="118" t="s">
        <v>282</v>
      </c>
      <c r="C6" s="345">
        <v>26656.359999999993</v>
      </c>
      <c r="D6" s="345">
        <v>19039.989999999998</v>
      </c>
      <c r="E6" s="346">
        <f t="shared" ref="E6:E16" si="0">SUM(C6:D6)</f>
        <v>45696.349999999991</v>
      </c>
    </row>
    <row r="7" spans="2:6">
      <c r="B7" s="118" t="s">
        <v>158</v>
      </c>
      <c r="C7" s="345">
        <v>745343.01999999734</v>
      </c>
      <c r="D7" s="345">
        <v>565054.71999999916</v>
      </c>
      <c r="E7" s="346">
        <f t="shared" si="0"/>
        <v>1310397.7399999965</v>
      </c>
    </row>
    <row r="8" spans="2:6">
      <c r="B8" s="118" t="s">
        <v>159</v>
      </c>
      <c r="C8" s="345">
        <v>2482108.3400000334</v>
      </c>
      <c r="D8" s="345">
        <v>2550207.3200000273</v>
      </c>
      <c r="E8" s="346">
        <f t="shared" si="0"/>
        <v>5032315.6600000607</v>
      </c>
    </row>
    <row r="9" spans="2:6">
      <c r="B9" s="118" t="s">
        <v>160</v>
      </c>
      <c r="C9" s="345">
        <v>2600779.4800000223</v>
      </c>
      <c r="D9" s="345">
        <v>2974118.8799999952</v>
      </c>
      <c r="E9" s="346">
        <f t="shared" si="0"/>
        <v>5574898.360000018</v>
      </c>
    </row>
    <row r="10" spans="2:6">
      <c r="B10" s="118" t="s">
        <v>161</v>
      </c>
      <c r="C10" s="345">
        <v>3793096.8600000008</v>
      </c>
      <c r="D10" s="345">
        <v>3015252.2900000014</v>
      </c>
      <c r="E10" s="346">
        <f t="shared" si="0"/>
        <v>6808349.1500000022</v>
      </c>
    </row>
    <row r="11" spans="2:6">
      <c r="B11" s="118" t="s">
        <v>162</v>
      </c>
      <c r="C11" s="345">
        <v>4491353.0400000354</v>
      </c>
      <c r="D11" s="345">
        <v>4641446.5800000373</v>
      </c>
      <c r="E11" s="346">
        <f t="shared" si="0"/>
        <v>9132799.6200000718</v>
      </c>
    </row>
    <row r="12" spans="2:6">
      <c r="B12" s="118" t="s">
        <v>163</v>
      </c>
      <c r="C12" s="345">
        <v>5342651.8500000574</v>
      </c>
      <c r="D12" s="345">
        <v>5530305.940000046</v>
      </c>
      <c r="E12" s="346">
        <f t="shared" si="0"/>
        <v>10872957.790000103</v>
      </c>
    </row>
    <row r="13" spans="2:6">
      <c r="B13" s="118" t="s">
        <v>164</v>
      </c>
      <c r="C13" s="345">
        <v>6041251.7700000992</v>
      </c>
      <c r="D13" s="345">
        <v>6493340.5000000708</v>
      </c>
      <c r="E13" s="346">
        <f t="shared" si="0"/>
        <v>12534592.270000171</v>
      </c>
    </row>
    <row r="14" spans="2:6">
      <c r="B14" s="118" t="s">
        <v>165</v>
      </c>
      <c r="C14" s="345">
        <v>5188550.9900000459</v>
      </c>
      <c r="D14" s="345">
        <v>6972096.5500000892</v>
      </c>
      <c r="E14" s="346">
        <f t="shared" si="0"/>
        <v>12160647.540000135</v>
      </c>
    </row>
    <row r="15" spans="2:6">
      <c r="B15" s="118" t="s">
        <v>166</v>
      </c>
      <c r="C15" s="345">
        <v>3977457.6800000235</v>
      </c>
      <c r="D15" s="345">
        <v>5074985.9200000549</v>
      </c>
      <c r="E15" s="346">
        <f t="shared" si="0"/>
        <v>9052443.6000000779</v>
      </c>
    </row>
    <row r="16" spans="2:6">
      <c r="B16" s="118" t="s">
        <v>681</v>
      </c>
      <c r="C16" s="345">
        <v>489719.93000000023</v>
      </c>
      <c r="D16" s="345">
        <v>1827474.8699999999</v>
      </c>
      <c r="E16" s="346">
        <f t="shared" si="0"/>
        <v>2317194.8000000003</v>
      </c>
      <c r="F16" s="423"/>
    </row>
    <row r="17" spans="2:11">
      <c r="B17" s="123" t="s">
        <v>10</v>
      </c>
      <c r="C17" s="346">
        <f>SUM(C6:C16)</f>
        <v>35178969.320000321</v>
      </c>
      <c r="D17" s="346">
        <f>SUM(D6:D16)</f>
        <v>39663323.560000323</v>
      </c>
      <c r="E17" s="346">
        <f>SUM(C17:D17)</f>
        <v>74842292.880000651</v>
      </c>
    </row>
    <row r="18" spans="2:11" ht="4.5" customHeight="1"/>
    <row r="19" spans="2:11">
      <c r="B19" s="14" t="s">
        <v>283</v>
      </c>
    </row>
    <row r="20" spans="2:11" ht="5.25" customHeight="1"/>
    <row r="21" spans="2:11">
      <c r="C21" s="648" t="s">
        <v>24</v>
      </c>
      <c r="D21" s="648"/>
      <c r="E21" s="648"/>
      <c r="F21" s="648" t="s">
        <v>25</v>
      </c>
      <c r="G21" s="648"/>
      <c r="H21" s="648"/>
      <c r="I21" s="649" t="s">
        <v>10</v>
      </c>
      <c r="J21" s="650"/>
      <c r="K21" s="651"/>
    </row>
    <row r="22" spans="2:11">
      <c r="C22" s="118" t="s">
        <v>284</v>
      </c>
      <c r="D22" s="118" t="s">
        <v>285</v>
      </c>
      <c r="E22" s="118" t="s">
        <v>286</v>
      </c>
      <c r="F22" s="118" t="s">
        <v>284</v>
      </c>
      <c r="G22" s="118" t="s">
        <v>285</v>
      </c>
      <c r="H22" s="118" t="s">
        <v>286</v>
      </c>
      <c r="I22" s="123" t="s">
        <v>284</v>
      </c>
      <c r="J22" s="123" t="s">
        <v>285</v>
      </c>
      <c r="K22" s="123" t="s">
        <v>286</v>
      </c>
    </row>
    <row r="23" spans="2:11">
      <c r="B23" s="123" t="s">
        <v>10</v>
      </c>
      <c r="C23" s="346">
        <v>2298.38</v>
      </c>
      <c r="D23" s="346">
        <v>184.26999999999998</v>
      </c>
      <c r="E23" s="346">
        <v>263544.4400000007</v>
      </c>
      <c r="F23" s="346">
        <v>1684.6899999999998</v>
      </c>
      <c r="G23" s="346">
        <v>45.769999999999996</v>
      </c>
      <c r="H23" s="346">
        <v>346181.4200000001</v>
      </c>
      <c r="I23" s="346">
        <v>3983.0699999999997</v>
      </c>
      <c r="J23" s="346">
        <v>230.03999999999996</v>
      </c>
      <c r="K23" s="346">
        <v>609725.8600000008</v>
      </c>
    </row>
    <row r="24" spans="2:11" ht="5.25" customHeight="1">
      <c r="B24" s="13"/>
    </row>
    <row r="25" spans="2:11" ht="5.25" customHeight="1">
      <c r="B25" s="13"/>
    </row>
    <row r="26" spans="2:11" ht="15.75">
      <c r="B26" s="13" t="s">
        <v>287</v>
      </c>
    </row>
    <row r="27" spans="2:11" ht="5.25" customHeight="1"/>
    <row r="28" spans="2:11">
      <c r="C28" s="118" t="s">
        <v>24</v>
      </c>
      <c r="D28" s="118" t="s">
        <v>25</v>
      </c>
      <c r="E28" s="123" t="s">
        <v>10</v>
      </c>
    </row>
    <row r="29" spans="2:11">
      <c r="B29" s="118" t="s">
        <v>62</v>
      </c>
      <c r="C29" s="345">
        <v>23546416.689999104</v>
      </c>
      <c r="D29" s="345">
        <v>34253172.759997986</v>
      </c>
      <c r="E29" s="346">
        <f>SUM(C29:D29)</f>
        <v>57799589.44999709</v>
      </c>
    </row>
    <row r="30" spans="2:11">
      <c r="B30" s="118" t="s">
        <v>63</v>
      </c>
      <c r="C30" s="345">
        <v>4749973.1500001196</v>
      </c>
      <c r="D30" s="345">
        <v>1635529.4000000027</v>
      </c>
      <c r="E30" s="346">
        <f t="shared" ref="E30:E33" si="1">SUM(C30:D30)</f>
        <v>6385502.5500001218</v>
      </c>
    </row>
    <row r="31" spans="2:11">
      <c r="B31" s="118" t="s">
        <v>64</v>
      </c>
      <c r="C31" s="345">
        <v>4600618.6700000633</v>
      </c>
      <c r="D31" s="345">
        <v>1640643.0900000273</v>
      </c>
      <c r="E31" s="346">
        <f t="shared" si="1"/>
        <v>6241261.760000091</v>
      </c>
    </row>
    <row r="32" spans="2:11">
      <c r="B32" s="118" t="s">
        <v>275</v>
      </c>
      <c r="C32" s="345">
        <v>2281960.8100000066</v>
      </c>
      <c r="D32" s="345">
        <v>2133978.3099999949</v>
      </c>
      <c r="E32" s="346">
        <f t="shared" si="1"/>
        <v>4415939.120000001</v>
      </c>
    </row>
    <row r="33" spans="2:11">
      <c r="B33" s="123" t="s">
        <v>10</v>
      </c>
      <c r="C33" s="346">
        <f>SUM(C29:C32)</f>
        <v>35178969.319999292</v>
      </c>
      <c r="D33" s="346">
        <f>SUM(D29:D32)</f>
        <v>39663323.559998013</v>
      </c>
      <c r="E33" s="346">
        <f t="shared" si="1"/>
        <v>74842292.879997313</v>
      </c>
    </row>
    <row r="34" spans="2:11" ht="6" customHeight="1"/>
    <row r="35" spans="2:11">
      <c r="B35" s="14" t="s">
        <v>283</v>
      </c>
    </row>
    <row r="36" spans="2:11" ht="6" customHeight="1"/>
    <row r="37" spans="2:11">
      <c r="C37" s="648" t="s">
        <v>24</v>
      </c>
      <c r="D37" s="648"/>
      <c r="E37" s="648"/>
      <c r="F37" s="648" t="s">
        <v>25</v>
      </c>
      <c r="G37" s="648"/>
      <c r="H37" s="648"/>
      <c r="I37" s="649" t="s">
        <v>10</v>
      </c>
      <c r="J37" s="650"/>
      <c r="K37" s="651"/>
    </row>
    <row r="38" spans="2:11">
      <c r="C38" s="118" t="s">
        <v>284</v>
      </c>
      <c r="D38" s="118" t="s">
        <v>285</v>
      </c>
      <c r="E38" s="118" t="s">
        <v>286</v>
      </c>
      <c r="F38" s="118" t="s">
        <v>284</v>
      </c>
      <c r="G38" s="118" t="s">
        <v>285</v>
      </c>
      <c r="H38" s="118" t="s">
        <v>286</v>
      </c>
      <c r="I38" s="123" t="s">
        <v>284</v>
      </c>
      <c r="J38" s="123" t="s">
        <v>285</v>
      </c>
      <c r="K38" s="123" t="s">
        <v>286</v>
      </c>
    </row>
    <row r="39" spans="2:11">
      <c r="B39" s="118" t="s">
        <v>62</v>
      </c>
      <c r="C39" s="345">
        <v>492.72</v>
      </c>
      <c r="D39" s="345"/>
      <c r="E39" s="345">
        <v>171071.83999999907</v>
      </c>
      <c r="F39" s="345"/>
      <c r="G39" s="345"/>
      <c r="H39" s="345">
        <v>320603.37999999372</v>
      </c>
      <c r="I39" s="346">
        <f>SUM(C39,F39)</f>
        <v>492.72</v>
      </c>
      <c r="J39" s="346">
        <f>SUM(D39,G39)</f>
        <v>0</v>
      </c>
      <c r="K39" s="346">
        <f t="shared" ref="K39" si="2">SUM(E39,H39)</f>
        <v>491675.21999999275</v>
      </c>
    </row>
    <row r="40" spans="2:11">
      <c r="B40" s="118" t="s">
        <v>63</v>
      </c>
      <c r="C40" s="345">
        <v>1104.81</v>
      </c>
      <c r="D40" s="345">
        <v>184.26999999999998</v>
      </c>
      <c r="E40" s="345">
        <v>44757.25000000016</v>
      </c>
      <c r="F40" s="345"/>
      <c r="G40" s="345">
        <v>45.769999999999996</v>
      </c>
      <c r="H40" s="345">
        <v>9399.7800000000025</v>
      </c>
      <c r="I40" s="346">
        <f t="shared" ref="I40:I42" si="3">SUM(C40,F40)</f>
        <v>1104.81</v>
      </c>
      <c r="J40" s="346">
        <f t="shared" ref="J40:J42" si="4">SUM(D40,G40)</f>
        <v>230.03999999999996</v>
      </c>
      <c r="K40" s="346">
        <f t="shared" ref="K40:K42" si="5">SUM(E40,H40)</f>
        <v>54157.030000000159</v>
      </c>
    </row>
    <row r="41" spans="2:11">
      <c r="B41" s="118" t="s">
        <v>64</v>
      </c>
      <c r="C41" s="345">
        <v>700.85000000000014</v>
      </c>
      <c r="D41" s="345"/>
      <c r="E41" s="345">
        <v>47715.350000000093</v>
      </c>
      <c r="F41" s="345">
        <v>700.67</v>
      </c>
      <c r="G41" s="345"/>
      <c r="H41" s="345">
        <v>16178.260000000058</v>
      </c>
      <c r="I41" s="346">
        <f t="shared" si="3"/>
        <v>1401.52</v>
      </c>
      <c r="J41" s="346">
        <f t="shared" si="4"/>
        <v>0</v>
      </c>
      <c r="K41" s="346">
        <f t="shared" si="5"/>
        <v>63893.610000000153</v>
      </c>
    </row>
    <row r="42" spans="2:11">
      <c r="B42" s="118" t="s">
        <v>275</v>
      </c>
      <c r="C42" s="345"/>
      <c r="D42" s="345"/>
      <c r="E42" s="345"/>
      <c r="F42" s="345">
        <v>984.02</v>
      </c>
      <c r="G42" s="345"/>
      <c r="H42" s="345"/>
      <c r="I42" s="346">
        <f t="shared" si="3"/>
        <v>984.02</v>
      </c>
      <c r="J42" s="346">
        <f t="shared" si="4"/>
        <v>0</v>
      </c>
      <c r="K42" s="346">
        <f t="shared" si="5"/>
        <v>0</v>
      </c>
    </row>
    <row r="43" spans="2:11">
      <c r="B43" s="123" t="s">
        <v>10</v>
      </c>
      <c r="C43" s="346">
        <f t="shared" ref="C43:G43" si="6">SUM(C39:C42)</f>
        <v>2298.38</v>
      </c>
      <c r="D43" s="346">
        <f t="shared" si="6"/>
        <v>184.26999999999998</v>
      </c>
      <c r="E43" s="346">
        <f t="shared" si="6"/>
        <v>263544.4399999993</v>
      </c>
      <c r="F43" s="346">
        <f t="shared" si="6"/>
        <v>1684.69</v>
      </c>
      <c r="G43" s="346">
        <f t="shared" si="6"/>
        <v>45.769999999999996</v>
      </c>
      <c r="H43" s="346">
        <f>SUM(H39:H42)</f>
        <v>346181.41999999381</v>
      </c>
      <c r="I43" s="346">
        <f t="shared" ref="I43" si="7">SUM(C43,F43)</f>
        <v>3983.07</v>
      </c>
      <c r="J43" s="346">
        <f t="shared" ref="J43" si="8">SUM(D43,G43)</f>
        <v>230.03999999999996</v>
      </c>
      <c r="K43" s="346">
        <f t="shared" ref="K43" si="9">SUM(E43,H43)</f>
        <v>609725.85999999312</v>
      </c>
    </row>
    <row r="44" spans="2:11" ht="7.5" customHeight="1"/>
    <row r="45" spans="2:11" ht="15.75">
      <c r="B45" s="13" t="s">
        <v>288</v>
      </c>
    </row>
    <row r="46" spans="2:11" ht="6" customHeight="1"/>
    <row r="47" spans="2:11">
      <c r="C47" s="253" t="s">
        <v>210</v>
      </c>
      <c r="D47" s="254"/>
      <c r="E47" s="255"/>
      <c r="F47" s="253" t="s">
        <v>5</v>
      </c>
      <c r="G47" s="254"/>
      <c r="H47" s="255"/>
    </row>
    <row r="48" spans="2:11">
      <c r="C48" s="230" t="s">
        <v>24</v>
      </c>
      <c r="D48" s="230" t="s">
        <v>25</v>
      </c>
      <c r="E48" s="230" t="s">
        <v>9</v>
      </c>
      <c r="F48" s="230" t="s">
        <v>24</v>
      </c>
      <c r="G48" s="230" t="s">
        <v>25</v>
      </c>
      <c r="H48" s="230" t="s">
        <v>9</v>
      </c>
      <c r="I48" s="123" t="s">
        <v>10</v>
      </c>
      <c r="J48" s="256" t="s">
        <v>303</v>
      </c>
    </row>
    <row r="49" spans="2:10">
      <c r="B49" s="230" t="s">
        <v>62</v>
      </c>
      <c r="C49" s="124">
        <v>52</v>
      </c>
      <c r="D49" s="124">
        <v>80</v>
      </c>
      <c r="E49" s="124">
        <f>SUM(C49:D49)</f>
        <v>132</v>
      </c>
      <c r="F49" s="124">
        <v>10</v>
      </c>
      <c r="G49" s="124">
        <v>5</v>
      </c>
      <c r="H49" s="124">
        <f>SUM(F49:G49)</f>
        <v>15</v>
      </c>
      <c r="I49" s="125">
        <f>H49+E49</f>
        <v>147</v>
      </c>
      <c r="J49" s="347">
        <f>15219.34+185889.82</f>
        <v>201109.16</v>
      </c>
    </row>
    <row r="50" spans="2:10">
      <c r="B50" s="230" t="s">
        <v>63</v>
      </c>
      <c r="C50" s="124"/>
      <c r="D50" s="124"/>
      <c r="E50" s="124">
        <f t="shared" ref="E50:E52" si="10">SUM(C50:D50)</f>
        <v>0</v>
      </c>
      <c r="F50" s="124">
        <v>32</v>
      </c>
      <c r="G50" s="124">
        <v>19</v>
      </c>
      <c r="H50" s="124">
        <f t="shared" ref="H50:H52" si="11">SUM(F50:G50)</f>
        <v>51</v>
      </c>
      <c r="I50" s="125">
        <f t="shared" ref="I50:I53" si="12">H50+E50</f>
        <v>51</v>
      </c>
      <c r="J50" s="348">
        <v>22312.62</v>
      </c>
    </row>
    <row r="51" spans="2:10">
      <c r="B51" s="230" t="s">
        <v>64</v>
      </c>
      <c r="C51" s="124"/>
      <c r="D51" s="124"/>
      <c r="E51" s="124">
        <f t="shared" si="10"/>
        <v>0</v>
      </c>
      <c r="F51" s="124">
        <v>8</v>
      </c>
      <c r="G51" s="124">
        <v>6</v>
      </c>
      <c r="H51" s="124">
        <f t="shared" si="11"/>
        <v>14</v>
      </c>
      <c r="I51" s="125">
        <f t="shared" si="12"/>
        <v>14</v>
      </c>
      <c r="J51" s="348">
        <v>2197.58</v>
      </c>
    </row>
    <row r="52" spans="2:10">
      <c r="B52" s="230" t="s">
        <v>275</v>
      </c>
      <c r="C52" s="124"/>
      <c r="D52" s="124"/>
      <c r="E52" s="124">
        <f t="shared" si="10"/>
        <v>0</v>
      </c>
      <c r="F52" s="124">
        <v>0</v>
      </c>
      <c r="G52" s="124">
        <v>0</v>
      </c>
      <c r="H52" s="124">
        <f t="shared" si="11"/>
        <v>0</v>
      </c>
      <c r="I52" s="125">
        <f t="shared" si="12"/>
        <v>0</v>
      </c>
      <c r="J52" s="348">
        <v>0</v>
      </c>
    </row>
    <row r="53" spans="2:10">
      <c r="B53" s="123" t="s">
        <v>10</v>
      </c>
      <c r="C53" s="125">
        <f>SUM(C49:C52)</f>
        <v>52</v>
      </c>
      <c r="D53" s="125">
        <f>SUM(D49:D52)</f>
        <v>80</v>
      </c>
      <c r="E53" s="125">
        <f t="shared" ref="E53:H53" si="13">SUM(E49:E52)</f>
        <v>132</v>
      </c>
      <c r="F53" s="125">
        <f t="shared" si="13"/>
        <v>50</v>
      </c>
      <c r="G53" s="125">
        <f t="shared" si="13"/>
        <v>30</v>
      </c>
      <c r="H53" s="125">
        <f t="shared" si="13"/>
        <v>80</v>
      </c>
      <c r="I53" s="125">
        <f t="shared" si="12"/>
        <v>212</v>
      </c>
      <c r="J53" s="349">
        <f>SUM(J49:J52)</f>
        <v>225619.36</v>
      </c>
    </row>
  </sheetData>
  <mergeCells count="6">
    <mergeCell ref="C21:E21"/>
    <mergeCell ref="F21:H21"/>
    <mergeCell ref="I21:K21"/>
    <mergeCell ref="C37:E37"/>
    <mergeCell ref="F37:H37"/>
    <mergeCell ref="I37:K37"/>
  </mergeCells>
  <pageMargins left="0.25" right="0.25" top="0.75" bottom="0.75" header="0.3" footer="0.3"/>
  <pageSetup paperSize="9" orientation="landscape" r:id="rId1"/>
  <headerFooter>
    <oddHeader>&amp;C&amp;"-,Gras"Chapitre III - Emploi - Masse salariale
3. Rémunérations</oddHeader>
    <oddFooter>&amp;C&amp;"-,Gras"Base de Données Sociales 2023&amp;R&amp;P</oddFooter>
  </headerFooter>
  <rowBreaks count="1" manualBreakCount="1">
    <brk id="24" max="16383" man="1"/>
  </rowBreaks>
  <ignoredErrors>
    <ignoredError sqref="I5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387C-99B7-44D4-8EB7-21CE61B23611}">
  <sheetPr codeName="Feuil15">
    <tabColor rgb="FF92D050"/>
  </sheetPr>
  <dimension ref="A1:R83"/>
  <sheetViews>
    <sheetView showGridLines="0" view="pageLayout" topLeftCell="A58" zoomScaleNormal="100" workbookViewId="0">
      <selection activeCell="P14" sqref="P14"/>
    </sheetView>
  </sheetViews>
  <sheetFormatPr baseColWidth="10" defaultRowHeight="15"/>
  <cols>
    <col min="1" max="1" width="2.5703125" customWidth="1"/>
    <col min="2" max="2" width="17.85546875" customWidth="1"/>
    <col min="10" max="10" width="5" customWidth="1"/>
    <col min="11" max="11" width="13.85546875" bestFit="1" customWidth="1"/>
    <col min="12" max="12" width="12.85546875" bestFit="1" customWidth="1"/>
    <col min="13" max="13" width="17.85546875" customWidth="1"/>
  </cols>
  <sheetData>
    <row r="1" spans="1:18" ht="15.75">
      <c r="B1" s="13" t="s">
        <v>506</v>
      </c>
    </row>
    <row r="2" spans="1:18">
      <c r="B2" t="s">
        <v>507</v>
      </c>
      <c r="K2" t="s">
        <v>511</v>
      </c>
      <c r="L2" s="327">
        <v>138000</v>
      </c>
    </row>
    <row r="3" spans="1:18">
      <c r="K3" t="s">
        <v>512</v>
      </c>
    </row>
    <row r="4" spans="1:18" ht="51.75" customHeight="1">
      <c r="B4" s="328" t="s">
        <v>508</v>
      </c>
      <c r="C4" s="326"/>
      <c r="D4" s="329" t="s">
        <v>629</v>
      </c>
      <c r="E4" s="329"/>
      <c r="F4" s="329"/>
      <c r="G4" s="329"/>
      <c r="H4" s="329"/>
      <c r="I4" s="329"/>
      <c r="J4" s="14"/>
      <c r="K4" s="652" t="s">
        <v>540</v>
      </c>
      <c r="L4" s="652"/>
      <c r="M4" s="652"/>
      <c r="N4" s="652"/>
      <c r="O4" s="652"/>
      <c r="P4" s="652"/>
      <c r="Q4" s="371"/>
      <c r="R4" s="371"/>
    </row>
    <row r="5" spans="1:18">
      <c r="B5" s="328" t="s">
        <v>509</v>
      </c>
      <c r="C5" s="326"/>
      <c r="D5" s="329" t="s">
        <v>631</v>
      </c>
      <c r="E5" s="329"/>
      <c r="F5" s="329"/>
      <c r="G5" s="329"/>
      <c r="H5" s="329"/>
      <c r="I5" s="329"/>
      <c r="J5" s="14"/>
      <c r="K5" s="331" t="s">
        <v>513</v>
      </c>
      <c r="L5" s="14"/>
      <c r="M5" s="14"/>
      <c r="N5" s="14"/>
      <c r="O5" s="14"/>
      <c r="P5" s="14"/>
      <c r="Q5" s="14"/>
      <c r="R5" s="14"/>
    </row>
    <row r="6" spans="1:18">
      <c r="B6" s="328" t="s">
        <v>510</v>
      </c>
      <c r="C6" s="326"/>
      <c r="D6" s="329" t="s">
        <v>630</v>
      </c>
      <c r="E6" s="329"/>
      <c r="F6" s="329"/>
      <c r="G6" s="329"/>
      <c r="H6" s="329"/>
      <c r="I6" s="329"/>
      <c r="J6" s="14"/>
      <c r="K6" s="331" t="s">
        <v>514</v>
      </c>
      <c r="L6" s="14"/>
      <c r="M6" s="14"/>
      <c r="N6" s="14"/>
      <c r="O6" s="14"/>
      <c r="P6" s="14"/>
      <c r="Q6" s="14"/>
      <c r="R6" s="14"/>
    </row>
    <row r="7" spans="1:18" ht="7.5" customHeight="1"/>
    <row r="8" spans="1:18" ht="15.75">
      <c r="B8" s="13" t="s">
        <v>289</v>
      </c>
      <c r="M8" s="13" t="s">
        <v>592</v>
      </c>
    </row>
    <row r="9" spans="1:18" ht="5.25" customHeight="1"/>
    <row r="10" spans="1:18">
      <c r="A10" s="29"/>
      <c r="B10" s="126"/>
      <c r="C10" s="128" t="s">
        <v>24</v>
      </c>
      <c r="D10" s="128" t="s">
        <v>25</v>
      </c>
      <c r="E10" s="129" t="s">
        <v>9</v>
      </c>
      <c r="N10" s="128" t="s">
        <v>593</v>
      </c>
      <c r="O10" s="128" t="s">
        <v>594</v>
      </c>
      <c r="P10" s="129" t="s">
        <v>9</v>
      </c>
    </row>
    <row r="11" spans="1:18">
      <c r="B11" s="128" t="s">
        <v>292</v>
      </c>
      <c r="C11" s="130">
        <v>5</v>
      </c>
      <c r="D11" s="130">
        <v>9</v>
      </c>
      <c r="E11" s="129">
        <f>SUM(C11:D11)</f>
        <v>14</v>
      </c>
      <c r="M11" s="128" t="s">
        <v>292</v>
      </c>
      <c r="N11" s="130">
        <v>6</v>
      </c>
      <c r="O11" s="130">
        <v>8</v>
      </c>
      <c r="P11" s="129">
        <f>SUM(N11:O11)</f>
        <v>14</v>
      </c>
    </row>
    <row r="12" spans="1:18">
      <c r="B12" s="128" t="s">
        <v>290</v>
      </c>
      <c r="C12" s="130">
        <v>12</v>
      </c>
      <c r="D12" s="130">
        <v>1</v>
      </c>
      <c r="E12" s="129">
        <f t="shared" ref="E12:E15" si="0">SUM(C12:D12)</f>
        <v>13</v>
      </c>
      <c r="M12" s="128" t="s">
        <v>290</v>
      </c>
      <c r="N12" s="130">
        <v>2</v>
      </c>
      <c r="O12" s="130">
        <v>2</v>
      </c>
      <c r="P12" s="129">
        <f t="shared" ref="P12:P14" si="1">SUM(N12:O12)</f>
        <v>4</v>
      </c>
    </row>
    <row r="13" spans="1:18">
      <c r="B13" s="128" t="s">
        <v>291</v>
      </c>
      <c r="C13" s="130">
        <v>1</v>
      </c>
      <c r="D13" s="130">
        <v>3</v>
      </c>
      <c r="E13" s="129">
        <f t="shared" si="0"/>
        <v>4</v>
      </c>
      <c r="M13" s="128" t="s">
        <v>291</v>
      </c>
      <c r="N13" s="130">
        <v>6</v>
      </c>
      <c r="O13" s="130">
        <v>7</v>
      </c>
      <c r="P13" s="129">
        <f t="shared" si="1"/>
        <v>13</v>
      </c>
    </row>
    <row r="14" spans="1:18">
      <c r="B14" s="128" t="s">
        <v>591</v>
      </c>
      <c r="C14" s="130">
        <v>2</v>
      </c>
      <c r="D14" s="130"/>
      <c r="E14" s="129">
        <f t="shared" si="0"/>
        <v>2</v>
      </c>
      <c r="M14" s="129" t="s">
        <v>9</v>
      </c>
      <c r="N14" s="129">
        <f>SUM(N11:N13)</f>
        <v>14</v>
      </c>
      <c r="O14" s="129">
        <f>SUM(O11:O13)</f>
        <v>17</v>
      </c>
      <c r="P14" s="129">
        <f t="shared" si="1"/>
        <v>31</v>
      </c>
    </row>
    <row r="15" spans="1:18">
      <c r="B15" s="129" t="s">
        <v>9</v>
      </c>
      <c r="C15" s="129">
        <f>SUM(C11:C14)</f>
        <v>20</v>
      </c>
      <c r="D15" s="129">
        <f>SUM(D11:D13)</f>
        <v>13</v>
      </c>
      <c r="E15" s="129">
        <f t="shared" si="0"/>
        <v>33</v>
      </c>
    </row>
    <row r="16" spans="1:18" ht="19.5" customHeight="1">
      <c r="B16" s="14"/>
      <c r="C16" s="14"/>
      <c r="D16" s="14"/>
      <c r="E16" s="14"/>
    </row>
    <row r="17" spans="2:5" ht="19.5" customHeight="1">
      <c r="B17" s="14"/>
      <c r="C17" s="14"/>
      <c r="D17" s="14"/>
      <c r="E17" s="14"/>
    </row>
    <row r="18" spans="2:5" ht="19.5" customHeight="1">
      <c r="B18" s="14"/>
      <c r="C18" s="14"/>
      <c r="D18" s="14"/>
      <c r="E18" s="14"/>
    </row>
    <row r="19" spans="2:5" ht="7.5" customHeight="1">
      <c r="B19" s="14"/>
      <c r="C19" s="14"/>
      <c r="D19" s="14"/>
      <c r="E19" s="14"/>
    </row>
    <row r="20" spans="2:5">
      <c r="B20" s="127" t="s">
        <v>293</v>
      </c>
      <c r="C20" s="127"/>
      <c r="D20" s="14"/>
      <c r="E20" s="14"/>
    </row>
    <row r="21" spans="2:5" ht="6.75" customHeight="1">
      <c r="B21" s="14"/>
      <c r="C21" s="14"/>
      <c r="D21" s="14"/>
      <c r="E21" s="14"/>
    </row>
    <row r="22" spans="2:5">
      <c r="B22" s="126"/>
      <c r="C22" s="128" t="s">
        <v>24</v>
      </c>
      <c r="D22" s="128" t="s">
        <v>25</v>
      </c>
      <c r="E22" s="129" t="s">
        <v>9</v>
      </c>
    </row>
    <row r="23" spans="2:5">
      <c r="B23" s="128" t="s">
        <v>62</v>
      </c>
      <c r="C23" s="130">
        <v>8</v>
      </c>
      <c r="D23" s="130">
        <v>3</v>
      </c>
      <c r="E23" s="129">
        <f>SUM(C23:D23)</f>
        <v>11</v>
      </c>
    </row>
    <row r="24" spans="2:5">
      <c r="B24" s="128" t="s">
        <v>63</v>
      </c>
      <c r="C24" s="130">
        <v>7</v>
      </c>
      <c r="D24" s="130">
        <v>4</v>
      </c>
      <c r="E24" s="129">
        <f t="shared" ref="E24:E26" si="2">SUM(C24:D24)</f>
        <v>11</v>
      </c>
    </row>
    <row r="25" spans="2:5">
      <c r="B25" s="128" t="s">
        <v>64</v>
      </c>
      <c r="C25" s="130">
        <v>5</v>
      </c>
      <c r="D25" s="130">
        <v>6</v>
      </c>
      <c r="E25" s="129">
        <f t="shared" si="2"/>
        <v>11</v>
      </c>
    </row>
    <row r="26" spans="2:5">
      <c r="B26" s="129" t="s">
        <v>9</v>
      </c>
      <c r="C26" s="129">
        <f>SUM(C23:C25)</f>
        <v>20</v>
      </c>
      <c r="D26" s="129">
        <f>SUM(D23:D25)</f>
        <v>13</v>
      </c>
      <c r="E26" s="129">
        <f t="shared" si="2"/>
        <v>33</v>
      </c>
    </row>
    <row r="27" spans="2:5" ht="6.75" customHeight="1"/>
    <row r="29" spans="2:5">
      <c r="B29" t="s">
        <v>294</v>
      </c>
    </row>
    <row r="31" spans="2:5">
      <c r="C31" s="128" t="s">
        <v>24</v>
      </c>
      <c r="D31" s="128" t="s">
        <v>25</v>
      </c>
      <c r="E31" s="129" t="s">
        <v>9</v>
      </c>
    </row>
    <row r="32" spans="2:5">
      <c r="B32" s="128" t="s">
        <v>158</v>
      </c>
      <c r="C32" s="131"/>
      <c r="D32" s="131"/>
      <c r="E32" s="129">
        <f t="shared" ref="E32:E41" si="3">SUM(C32:D32)</f>
        <v>0</v>
      </c>
    </row>
    <row r="33" spans="2:10">
      <c r="B33" s="128" t="s">
        <v>159</v>
      </c>
      <c r="C33" s="131"/>
      <c r="D33" s="131"/>
      <c r="E33" s="129">
        <f t="shared" si="3"/>
        <v>0</v>
      </c>
    </row>
    <row r="34" spans="2:10">
      <c r="B34" s="128" t="s">
        <v>160</v>
      </c>
      <c r="C34" s="131">
        <v>1</v>
      </c>
      <c r="D34" s="131">
        <v>1</v>
      </c>
      <c r="E34" s="129">
        <f t="shared" si="3"/>
        <v>2</v>
      </c>
    </row>
    <row r="35" spans="2:10">
      <c r="B35" s="128" t="s">
        <v>161</v>
      </c>
      <c r="C35" s="131">
        <v>1</v>
      </c>
      <c r="D35" s="131"/>
      <c r="E35" s="129">
        <f t="shared" si="3"/>
        <v>1</v>
      </c>
    </row>
    <row r="36" spans="2:10">
      <c r="B36" s="128" t="s">
        <v>162</v>
      </c>
      <c r="C36" s="131">
        <v>1</v>
      </c>
      <c r="D36" s="131">
        <v>4</v>
      </c>
      <c r="E36" s="129">
        <f t="shared" si="3"/>
        <v>5</v>
      </c>
    </row>
    <row r="37" spans="2:10">
      <c r="B37" s="128" t="s">
        <v>163</v>
      </c>
      <c r="C37" s="131">
        <v>5</v>
      </c>
      <c r="D37" s="131">
        <v>2</v>
      </c>
      <c r="E37" s="129">
        <f t="shared" si="3"/>
        <v>7</v>
      </c>
    </row>
    <row r="38" spans="2:10">
      <c r="B38" s="128" t="s">
        <v>164</v>
      </c>
      <c r="C38" s="131">
        <v>4</v>
      </c>
      <c r="D38" s="131">
        <v>4</v>
      </c>
      <c r="E38" s="129">
        <f t="shared" si="3"/>
        <v>8</v>
      </c>
    </row>
    <row r="39" spans="2:10">
      <c r="B39" s="128" t="s">
        <v>165</v>
      </c>
      <c r="C39" s="131">
        <v>4</v>
      </c>
      <c r="D39" s="131">
        <v>2</v>
      </c>
      <c r="E39" s="129">
        <f t="shared" si="3"/>
        <v>6</v>
      </c>
    </row>
    <row r="40" spans="2:10">
      <c r="B40" s="128" t="s">
        <v>166</v>
      </c>
      <c r="C40" s="131">
        <v>4</v>
      </c>
      <c r="D40" s="131"/>
      <c r="E40" s="129">
        <f t="shared" si="3"/>
        <v>4</v>
      </c>
    </row>
    <row r="41" spans="2:10">
      <c r="B41" s="129" t="s">
        <v>10</v>
      </c>
      <c r="C41" s="129">
        <f>SUM(C32:C40)</f>
        <v>20</v>
      </c>
      <c r="D41" s="129">
        <f>SUM(D32:D40)</f>
        <v>13</v>
      </c>
      <c r="E41" s="129">
        <f t="shared" si="3"/>
        <v>33</v>
      </c>
    </row>
    <row r="42" spans="2:10" ht="8.25" customHeight="1"/>
    <row r="43" spans="2:10">
      <c r="B43" t="s">
        <v>295</v>
      </c>
      <c r="H43" t="s">
        <v>296</v>
      </c>
    </row>
    <row r="44" spans="2:10" ht="6" customHeight="1"/>
    <row r="45" spans="2:10">
      <c r="C45" s="128" t="s">
        <v>62</v>
      </c>
      <c r="D45" s="128" t="s">
        <v>63</v>
      </c>
      <c r="E45" s="128" t="s">
        <v>64</v>
      </c>
      <c r="F45" s="129" t="s">
        <v>9</v>
      </c>
      <c r="I45" t="s">
        <v>24</v>
      </c>
      <c r="J45" t="s">
        <v>25</v>
      </c>
    </row>
    <row r="46" spans="2:10">
      <c r="B46" s="128" t="s">
        <v>158</v>
      </c>
      <c r="C46" s="131"/>
      <c r="D46" s="131"/>
      <c r="E46" s="131"/>
      <c r="F46" s="129">
        <f>SUM(C46:E46)</f>
        <v>0</v>
      </c>
      <c r="H46" t="s">
        <v>5</v>
      </c>
      <c r="I46">
        <v>17</v>
      </c>
      <c r="J46">
        <v>11</v>
      </c>
    </row>
    <row r="47" spans="2:10">
      <c r="B47" s="128" t="s">
        <v>159</v>
      </c>
      <c r="C47" s="131"/>
      <c r="D47" s="131"/>
      <c r="E47" s="131"/>
      <c r="F47" s="129">
        <f t="shared" ref="F47:F54" si="4">SUM(C47:E47)</f>
        <v>0</v>
      </c>
      <c r="H47" t="s">
        <v>46</v>
      </c>
    </row>
    <row r="48" spans="2:10">
      <c r="B48" s="128" t="s">
        <v>160</v>
      </c>
      <c r="C48" s="131">
        <v>1</v>
      </c>
      <c r="D48" s="131">
        <v>1</v>
      </c>
      <c r="E48" s="131"/>
      <c r="F48" s="129">
        <f t="shared" si="4"/>
        <v>2</v>
      </c>
      <c r="H48" t="s">
        <v>4</v>
      </c>
      <c r="I48">
        <v>3</v>
      </c>
      <c r="J48">
        <v>2</v>
      </c>
    </row>
    <row r="49" spans="2:11">
      <c r="B49" s="128" t="s">
        <v>161</v>
      </c>
      <c r="C49" s="131"/>
      <c r="D49" s="131"/>
      <c r="E49" s="131">
        <v>1</v>
      </c>
      <c r="F49" s="129">
        <f t="shared" si="4"/>
        <v>1</v>
      </c>
    </row>
    <row r="50" spans="2:11">
      <c r="B50" s="128" t="s">
        <v>162</v>
      </c>
      <c r="C50" s="131">
        <v>2</v>
      </c>
      <c r="D50" s="131">
        <v>2</v>
      </c>
      <c r="E50" s="131">
        <v>1</v>
      </c>
      <c r="F50" s="129">
        <f t="shared" si="4"/>
        <v>5</v>
      </c>
    </row>
    <row r="51" spans="2:11">
      <c r="B51" s="128" t="s">
        <v>163</v>
      </c>
      <c r="C51" s="131">
        <v>3</v>
      </c>
      <c r="D51" s="131">
        <v>1</v>
      </c>
      <c r="E51" s="131">
        <v>3</v>
      </c>
      <c r="F51" s="129">
        <f t="shared" si="4"/>
        <v>7</v>
      </c>
    </row>
    <row r="52" spans="2:11">
      <c r="B52" s="128" t="s">
        <v>164</v>
      </c>
      <c r="C52" s="131">
        <v>2</v>
      </c>
      <c r="D52" s="131">
        <v>2</v>
      </c>
      <c r="E52" s="131">
        <v>4</v>
      </c>
      <c r="F52" s="129">
        <f t="shared" si="4"/>
        <v>8</v>
      </c>
    </row>
    <row r="53" spans="2:11">
      <c r="B53" s="128" t="s">
        <v>165</v>
      </c>
      <c r="C53" s="131">
        <v>2</v>
      </c>
      <c r="D53" s="131">
        <v>2</v>
      </c>
      <c r="E53" s="131">
        <v>2</v>
      </c>
      <c r="F53" s="129">
        <f t="shared" si="4"/>
        <v>6</v>
      </c>
    </row>
    <row r="54" spans="2:11">
      <c r="B54" s="128" t="s">
        <v>166</v>
      </c>
      <c r="C54" s="131">
        <v>1</v>
      </c>
      <c r="D54" s="131">
        <v>3</v>
      </c>
      <c r="E54" s="131"/>
      <c r="F54" s="129">
        <f t="shared" si="4"/>
        <v>4</v>
      </c>
    </row>
    <row r="55" spans="2:11">
      <c r="B55" s="129" t="s">
        <v>10</v>
      </c>
      <c r="C55" s="129">
        <f>SUM(C46:C54)</f>
        <v>11</v>
      </c>
      <c r="D55" s="129">
        <f>SUM(D46:D54)</f>
        <v>11</v>
      </c>
      <c r="E55" s="129">
        <f>SUM(E46:E54)</f>
        <v>11</v>
      </c>
      <c r="F55" s="129">
        <f>SUM(C55:E55)</f>
        <v>33</v>
      </c>
    </row>
    <row r="59" spans="2:11" ht="15.75">
      <c r="B59" s="13" t="s">
        <v>633</v>
      </c>
    </row>
    <row r="60" spans="2:11" ht="6.75" customHeight="1"/>
    <row r="61" spans="2:11">
      <c r="B61" t="s">
        <v>634</v>
      </c>
    </row>
    <row r="62" spans="2:11" ht="7.5" customHeight="1">
      <c r="B62" s="13"/>
    </row>
    <row r="63" spans="2:11">
      <c r="I63" t="s">
        <v>635</v>
      </c>
      <c r="K63" s="79">
        <v>0.36</v>
      </c>
    </row>
    <row r="64" spans="2:11">
      <c r="B64" t="s">
        <v>635</v>
      </c>
      <c r="C64" s="79">
        <v>0.39</v>
      </c>
      <c r="I64" t="s">
        <v>636</v>
      </c>
      <c r="K64" s="79">
        <v>0.21</v>
      </c>
    </row>
    <row r="65" spans="2:12">
      <c r="B65" t="s">
        <v>636</v>
      </c>
      <c r="C65" s="79">
        <v>0.27</v>
      </c>
      <c r="I65" t="s">
        <v>637</v>
      </c>
      <c r="K65" s="79">
        <v>0.43</v>
      </c>
    </row>
    <row r="66" spans="2:12">
      <c r="B66" t="s">
        <v>637</v>
      </c>
      <c r="C66" s="79">
        <v>0.34</v>
      </c>
    </row>
    <row r="67" spans="2:12" ht="6" customHeight="1"/>
    <row r="68" spans="2:12" ht="21.75" customHeight="1">
      <c r="B68" s="33"/>
    </row>
    <row r="69" spans="2:12" ht="6" customHeight="1"/>
    <row r="70" spans="2:12">
      <c r="B70" s="401"/>
    </row>
    <row r="71" spans="2:12" ht="5.25" customHeight="1"/>
    <row r="72" spans="2:12" ht="49.5" customHeight="1">
      <c r="B72" s="408"/>
    </row>
    <row r="73" spans="2:12" ht="6.75" customHeight="1"/>
    <row r="74" spans="2:12" s="14" customFormat="1" ht="36" customHeight="1">
      <c r="B74" s="653" t="s">
        <v>638</v>
      </c>
      <c r="C74" s="654"/>
      <c r="D74" s="654"/>
      <c r="E74" s="655"/>
      <c r="H74" s="653" t="s">
        <v>639</v>
      </c>
      <c r="I74" s="654"/>
      <c r="J74" s="654"/>
      <c r="K74" s="654"/>
      <c r="L74" s="655"/>
    </row>
    <row r="77" spans="2:12" ht="15.75">
      <c r="B77" s="13"/>
    </row>
    <row r="79" spans="2:12">
      <c r="B79" s="287"/>
      <c r="C79" s="287"/>
      <c r="D79" s="287"/>
      <c r="E79" s="287"/>
    </row>
    <row r="80" spans="2:12" ht="3" customHeight="1"/>
    <row r="82" spans="2:2" ht="5.25" customHeight="1"/>
    <row r="83" spans="2:2">
      <c r="B83" s="287"/>
    </row>
  </sheetData>
  <mergeCells count="3">
    <mergeCell ref="K4:P4"/>
    <mergeCell ref="B74:E74"/>
    <mergeCell ref="H74:L74"/>
  </mergeCells>
  <pageMargins left="0.25" right="0.25" top="0.75" bottom="0.75" header="0.3" footer="0.3"/>
  <pageSetup paperSize="9" scale="72" orientation="landscape" horizontalDpi="4294967293" r:id="rId1"/>
  <headerFooter>
    <oddHeader>&amp;C&amp;"-,Gras"Chapitre IV - Santé et QVCT
1. Risques profesionnels</oddHeader>
    <oddFooter>&amp;C&amp;"-,Gras"Base de Données Sociales 2023&amp;R&amp;P</oddFooter>
  </headerFooter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0A73-4E6A-4FF1-87BC-56A0B456E8F4}">
  <sheetPr codeName="Feuil16">
    <tabColor rgb="FF92D050"/>
  </sheetPr>
  <dimension ref="B1:L72"/>
  <sheetViews>
    <sheetView showGridLines="0" view="pageLayout" topLeftCell="A25" zoomScale="80" zoomScaleNormal="100" zoomScaleSheetLayoutView="90" zoomScalePageLayoutView="80" workbookViewId="0">
      <selection activeCell="C41" sqref="C41"/>
    </sheetView>
  </sheetViews>
  <sheetFormatPr baseColWidth="10" defaultColWidth="11.42578125" defaultRowHeight="15"/>
  <cols>
    <col min="1" max="1" width="2.85546875" customWidth="1"/>
    <col min="2" max="2" width="26.42578125" customWidth="1"/>
    <col min="3" max="3" width="12" customWidth="1"/>
    <col min="4" max="5" width="8.7109375" customWidth="1"/>
    <col min="6" max="6" width="12.42578125" bestFit="1" customWidth="1"/>
    <col min="7" max="7" width="8.28515625" customWidth="1"/>
    <col min="8" max="8" width="22.28515625" customWidth="1"/>
    <col min="10" max="10" width="12.5703125" bestFit="1" customWidth="1"/>
    <col min="12" max="12" width="2.28515625" customWidth="1"/>
  </cols>
  <sheetData>
    <row r="1" spans="2:8" ht="15.75">
      <c r="B1" s="13" t="s">
        <v>400</v>
      </c>
    </row>
    <row r="3" spans="2:8">
      <c r="B3" s="134" t="s">
        <v>384</v>
      </c>
      <c r="C3" s="361">
        <v>124209</v>
      </c>
    </row>
    <row r="4" spans="2:8">
      <c r="B4" s="134" t="s">
        <v>394</v>
      </c>
      <c r="C4" s="361">
        <v>46571</v>
      </c>
    </row>
    <row r="5" spans="2:8" ht="4.5" customHeight="1"/>
    <row r="6" spans="2:8" ht="15.75">
      <c r="B6" s="13" t="s">
        <v>297</v>
      </c>
    </row>
    <row r="7" spans="2:8">
      <c r="B7" t="s">
        <v>298</v>
      </c>
    </row>
    <row r="8" spans="2:8" ht="4.5" customHeight="1"/>
    <row r="9" spans="2:8" ht="25.5">
      <c r="C9" s="367" t="s">
        <v>34</v>
      </c>
      <c r="D9" s="132" t="s">
        <v>62</v>
      </c>
      <c r="E9" s="132" t="s">
        <v>63</v>
      </c>
      <c r="F9" s="132" t="s">
        <v>64</v>
      </c>
      <c r="G9" s="133" t="s">
        <v>10</v>
      </c>
      <c r="H9" s="132" t="s">
        <v>303</v>
      </c>
    </row>
    <row r="10" spans="2:8" ht="24" customHeight="1">
      <c r="B10" s="134" t="s">
        <v>305</v>
      </c>
      <c r="C10" s="131">
        <v>4</v>
      </c>
      <c r="D10" s="131">
        <v>3</v>
      </c>
      <c r="E10" s="131">
        <v>4</v>
      </c>
      <c r="F10" s="131">
        <v>7</v>
      </c>
      <c r="G10" s="129">
        <f t="shared" ref="G10:G14" si="0">SUM(C10:F10)</f>
        <v>18</v>
      </c>
      <c r="H10" s="119">
        <v>38352.6</v>
      </c>
    </row>
    <row r="11" spans="2:8">
      <c r="B11" s="134" t="s">
        <v>306</v>
      </c>
      <c r="C11" s="131">
        <v>3</v>
      </c>
      <c r="D11" s="131">
        <v>8</v>
      </c>
      <c r="E11" s="131">
        <v>9</v>
      </c>
      <c r="F11" s="131">
        <v>29</v>
      </c>
      <c r="G11" s="129">
        <f t="shared" si="0"/>
        <v>49</v>
      </c>
      <c r="H11" s="119">
        <v>3149.27</v>
      </c>
    </row>
    <row r="12" spans="2:8">
      <c r="B12" s="134" t="s">
        <v>307</v>
      </c>
      <c r="C12" s="131"/>
      <c r="D12" s="131"/>
      <c r="E12" s="131"/>
      <c r="F12" s="131">
        <v>2</v>
      </c>
      <c r="G12" s="129">
        <f t="shared" si="0"/>
        <v>2</v>
      </c>
      <c r="H12" s="119">
        <v>2000</v>
      </c>
    </row>
    <row r="13" spans="2:8">
      <c r="B13" s="134" t="s">
        <v>308</v>
      </c>
      <c r="C13" s="131">
        <v>1</v>
      </c>
      <c r="D13" s="131">
        <v>4</v>
      </c>
      <c r="E13" s="131">
        <v>6</v>
      </c>
      <c r="F13" s="131">
        <v>4</v>
      </c>
      <c r="G13" s="129">
        <f t="shared" si="0"/>
        <v>15</v>
      </c>
      <c r="H13" s="119">
        <v>6800</v>
      </c>
    </row>
    <row r="14" spans="2:8">
      <c r="B14" s="134" t="s">
        <v>309</v>
      </c>
      <c r="C14" s="131"/>
      <c r="D14" s="131"/>
      <c r="E14" s="131"/>
      <c r="F14" s="131"/>
      <c r="G14" s="129">
        <f t="shared" si="0"/>
        <v>0</v>
      </c>
      <c r="H14" s="119"/>
    </row>
    <row r="15" spans="2:8">
      <c r="B15" s="133" t="s">
        <v>10</v>
      </c>
      <c r="C15" s="129">
        <f>SUM(C10:C14)</f>
        <v>8</v>
      </c>
      <c r="D15" s="129">
        <f>SUM(D10:D14)</f>
        <v>15</v>
      </c>
      <c r="E15" s="129">
        <f t="shared" ref="E15:F15" si="1">SUM(E10:E14)</f>
        <v>19</v>
      </c>
      <c r="F15" s="129">
        <f t="shared" si="1"/>
        <v>42</v>
      </c>
      <c r="G15" s="129">
        <f>SUM(C15:F15)</f>
        <v>84</v>
      </c>
      <c r="H15" s="135">
        <f>SUM(H10:H14)</f>
        <v>50301.869999999995</v>
      </c>
    </row>
    <row r="16" spans="2:8" ht="7.5" customHeight="1"/>
    <row r="17" spans="2:10" ht="25.5">
      <c r="C17" s="132" t="s">
        <v>24</v>
      </c>
      <c r="D17" s="132" t="s">
        <v>25</v>
      </c>
      <c r="E17" s="133" t="s">
        <v>10</v>
      </c>
    </row>
    <row r="18" spans="2:10" ht="27.75" customHeight="1">
      <c r="B18" s="134" t="s">
        <v>305</v>
      </c>
      <c r="C18" s="131">
        <v>12</v>
      </c>
      <c r="D18" s="131">
        <v>6</v>
      </c>
      <c r="E18" s="129">
        <f>SUM(C18:D18)</f>
        <v>18</v>
      </c>
    </row>
    <row r="19" spans="2:10">
      <c r="B19" s="134" t="s">
        <v>306</v>
      </c>
      <c r="C19" s="131">
        <v>40</v>
      </c>
      <c r="D19" s="131">
        <v>9</v>
      </c>
      <c r="E19" s="129">
        <f t="shared" ref="E19:E22" si="2">SUM(C19:D19)</f>
        <v>49</v>
      </c>
    </row>
    <row r="20" spans="2:10">
      <c r="B20" s="134" t="s">
        <v>307</v>
      </c>
      <c r="C20" s="131">
        <v>1</v>
      </c>
      <c r="D20" s="131">
        <v>1</v>
      </c>
      <c r="E20" s="129">
        <f t="shared" si="2"/>
        <v>2</v>
      </c>
    </row>
    <row r="21" spans="2:10">
      <c r="B21" s="134" t="s">
        <v>308</v>
      </c>
      <c r="C21" s="131">
        <v>11</v>
      </c>
      <c r="D21" s="131">
        <v>4</v>
      </c>
      <c r="E21" s="129">
        <f t="shared" si="2"/>
        <v>15</v>
      </c>
    </row>
    <row r="22" spans="2:10">
      <c r="B22" s="134" t="s">
        <v>309</v>
      </c>
      <c r="C22" s="131"/>
      <c r="D22" s="131"/>
      <c r="E22" s="129">
        <f t="shared" si="2"/>
        <v>0</v>
      </c>
    </row>
    <row r="23" spans="2:10">
      <c r="B23" s="133" t="s">
        <v>10</v>
      </c>
      <c r="C23" s="129">
        <f>SUM(C18:C22)</f>
        <v>64</v>
      </c>
      <c r="D23" s="129">
        <f t="shared" ref="D23" si="3">SUM(D18:D22)</f>
        <v>20</v>
      </c>
      <c r="E23" s="129">
        <f>SUM(C23:D23)</f>
        <v>84</v>
      </c>
    </row>
    <row r="24" spans="2:10" ht="7.5" customHeight="1">
      <c r="B24" s="13"/>
    </row>
    <row r="25" spans="2:10" ht="15.75">
      <c r="B25" s="13" t="s">
        <v>299</v>
      </c>
    </row>
    <row r="26" spans="2:10" ht="7.5" customHeight="1"/>
    <row r="27" spans="2:10" ht="15" customHeight="1">
      <c r="C27" s="656" t="s">
        <v>304</v>
      </c>
      <c r="D27" s="657"/>
      <c r="E27" s="657"/>
      <c r="F27" s="657"/>
      <c r="G27" s="656" t="s">
        <v>310</v>
      </c>
      <c r="H27" s="657"/>
      <c r="I27" s="657"/>
      <c r="J27" s="658"/>
    </row>
    <row r="28" spans="2:10" ht="25.5">
      <c r="C28" s="136" t="s">
        <v>24</v>
      </c>
      <c r="D28" s="136" t="s">
        <v>25</v>
      </c>
      <c r="E28" s="137" t="s">
        <v>10</v>
      </c>
      <c r="F28" s="132" t="s">
        <v>303</v>
      </c>
      <c r="G28" s="132" t="s">
        <v>24</v>
      </c>
      <c r="H28" s="132" t="s">
        <v>25</v>
      </c>
      <c r="I28" s="133" t="s">
        <v>10</v>
      </c>
      <c r="J28" s="132" t="s">
        <v>303</v>
      </c>
    </row>
    <row r="29" spans="2:10">
      <c r="B29" s="134" t="s">
        <v>300</v>
      </c>
      <c r="C29" s="131">
        <v>97</v>
      </c>
      <c r="D29" s="131">
        <v>115</v>
      </c>
      <c r="E29" s="129">
        <f t="shared" ref="E29:E30" si="4">SUM(C29:D29)</f>
        <v>212</v>
      </c>
      <c r="F29" s="257">
        <v>65411</v>
      </c>
      <c r="G29" s="131">
        <v>47</v>
      </c>
      <c r="H29" s="131">
        <v>111</v>
      </c>
      <c r="I29" s="129">
        <f t="shared" ref="I29:I30" si="5">SUM(G29:H29)</f>
        <v>158</v>
      </c>
      <c r="J29" s="257">
        <v>43200</v>
      </c>
    </row>
    <row r="30" spans="2:10" ht="15" customHeight="1">
      <c r="B30" s="134" t="s">
        <v>301</v>
      </c>
      <c r="C30" s="131">
        <v>130</v>
      </c>
      <c r="D30" s="131">
        <v>56</v>
      </c>
      <c r="E30" s="129">
        <f t="shared" si="4"/>
        <v>186</v>
      </c>
      <c r="F30" s="257">
        <v>42362.61</v>
      </c>
      <c r="G30" s="131">
        <v>67</v>
      </c>
      <c r="H30" s="131">
        <v>43</v>
      </c>
      <c r="I30" s="129">
        <f t="shared" si="5"/>
        <v>110</v>
      </c>
      <c r="J30" s="257">
        <v>72600</v>
      </c>
    </row>
    <row r="31" spans="2:10" ht="15" customHeight="1">
      <c r="B31" s="133" t="s">
        <v>302</v>
      </c>
      <c r="C31" s="129">
        <f>SUM(C29:C30)</f>
        <v>227</v>
      </c>
      <c r="D31" s="129">
        <f>SUM(D29:D30)</f>
        <v>171</v>
      </c>
      <c r="E31" s="129">
        <f>SUM(C31:D31)</f>
        <v>398</v>
      </c>
      <c r="F31" s="138">
        <f>SUM(F29:F30)</f>
        <v>107773.61</v>
      </c>
      <c r="G31" s="129">
        <f>SUM(G29:G30)</f>
        <v>114</v>
      </c>
      <c r="H31" s="129">
        <f>SUM(H29:H30)</f>
        <v>154</v>
      </c>
      <c r="I31" s="129">
        <f>SUM(G31:H31)</f>
        <v>268</v>
      </c>
      <c r="J31" s="135">
        <f>SUM(J29:J30)</f>
        <v>115800</v>
      </c>
    </row>
    <row r="32" spans="2:10" ht="6" customHeight="1"/>
    <row r="33" spans="2:11" ht="15.75">
      <c r="B33" s="13" t="s">
        <v>384</v>
      </c>
      <c r="H33" s="13" t="s">
        <v>394</v>
      </c>
    </row>
    <row r="34" spans="2:11" ht="6" customHeight="1">
      <c r="B34" s="13"/>
    </row>
    <row r="35" spans="2:11" ht="25.5">
      <c r="B35" s="134" t="s">
        <v>385</v>
      </c>
      <c r="C35" s="362">
        <v>15</v>
      </c>
      <c r="D35" s="363"/>
      <c r="H35" s="224" t="s">
        <v>395</v>
      </c>
      <c r="I35" s="224"/>
      <c r="J35" s="362" t="s">
        <v>536</v>
      </c>
      <c r="K35" s="363"/>
    </row>
    <row r="36" spans="2:11" ht="25.5">
      <c r="B36" s="134" t="s">
        <v>386</v>
      </c>
      <c r="C36" s="362">
        <v>117</v>
      </c>
      <c r="D36" s="363"/>
      <c r="H36" s="224" t="s">
        <v>396</v>
      </c>
      <c r="I36" s="224"/>
      <c r="J36" s="362" t="s">
        <v>537</v>
      </c>
      <c r="K36" s="363"/>
    </row>
    <row r="37" spans="2:11" ht="25.5">
      <c r="B37" s="134" t="s">
        <v>387</v>
      </c>
      <c r="C37" s="362">
        <v>1757</v>
      </c>
      <c r="D37" s="363"/>
      <c r="H37" s="224" t="s">
        <v>397</v>
      </c>
      <c r="I37" s="224"/>
      <c r="J37" s="362" t="s">
        <v>538</v>
      </c>
      <c r="K37" s="363"/>
    </row>
    <row r="38" spans="2:11" ht="30">
      <c r="B38" s="134" t="s">
        <v>388</v>
      </c>
      <c r="C38" s="364">
        <v>381</v>
      </c>
      <c r="D38" s="363"/>
      <c r="H38" s="224" t="s">
        <v>398</v>
      </c>
      <c r="I38" s="224"/>
      <c r="J38" s="364" t="s">
        <v>539</v>
      </c>
      <c r="K38" s="363"/>
    </row>
    <row r="39" spans="2:11" ht="25.5">
      <c r="B39" s="134" t="s">
        <v>389</v>
      </c>
      <c r="C39" s="362">
        <v>240</v>
      </c>
      <c r="D39" s="363"/>
      <c r="H39" s="224" t="s">
        <v>399</v>
      </c>
      <c r="I39" s="224"/>
      <c r="J39" s="362">
        <v>80</v>
      </c>
      <c r="K39" s="363"/>
    </row>
    <row r="40" spans="2:11">
      <c r="B40" s="134" t="s">
        <v>390</v>
      </c>
      <c r="C40" s="362">
        <v>6</v>
      </c>
      <c r="D40" s="363"/>
    </row>
    <row r="41" spans="2:11">
      <c r="B41" s="134" t="s">
        <v>391</v>
      </c>
      <c r="C41" s="362">
        <v>2</v>
      </c>
      <c r="D41" s="363"/>
    </row>
    <row r="42" spans="2:11">
      <c r="B42" s="134" t="s">
        <v>392</v>
      </c>
      <c r="C42" s="362">
        <v>2040</v>
      </c>
      <c r="D42" s="363"/>
    </row>
    <row r="43" spans="2:11">
      <c r="B43" s="134" t="s">
        <v>393</v>
      </c>
      <c r="C43" s="366">
        <v>66000</v>
      </c>
      <c r="D43" s="365"/>
    </row>
    <row r="45" spans="2:11" ht="15.75">
      <c r="B45" s="13" t="s">
        <v>311</v>
      </c>
    </row>
    <row r="46" spans="2:11" ht="6.75" customHeight="1">
      <c r="B46" s="13"/>
    </row>
    <row r="47" spans="2:11">
      <c r="B47" t="s">
        <v>401</v>
      </c>
      <c r="C47">
        <v>108</v>
      </c>
      <c r="D47" s="377" t="s">
        <v>545</v>
      </c>
    </row>
    <row r="48" spans="2:11">
      <c r="B48" t="s">
        <v>402</v>
      </c>
      <c r="C48">
        <v>260</v>
      </c>
      <c r="D48" s="377" t="s">
        <v>650</v>
      </c>
    </row>
    <row r="49" spans="2:12" ht="6.75" customHeight="1"/>
    <row r="50" spans="2:12">
      <c r="B50" t="s">
        <v>312</v>
      </c>
    </row>
    <row r="51" spans="2:12" ht="6.75" customHeight="1"/>
    <row r="52" spans="2:12" ht="45" customHeight="1">
      <c r="B52" s="134" t="s">
        <v>313</v>
      </c>
      <c r="C52" s="372">
        <v>0.46</v>
      </c>
      <c r="E52" s="662" t="s">
        <v>543</v>
      </c>
      <c r="F52" s="662"/>
      <c r="G52" s="662"/>
      <c r="H52" s="662"/>
      <c r="I52" s="662"/>
      <c r="J52" s="662"/>
      <c r="K52" s="662"/>
      <c r="L52" s="287"/>
    </row>
    <row r="53" spans="2:12" ht="34.5" customHeight="1">
      <c r="B53" s="134" t="s">
        <v>314</v>
      </c>
      <c r="C53" s="372">
        <v>0.24</v>
      </c>
      <c r="E53" s="662" t="s">
        <v>542</v>
      </c>
      <c r="F53" s="662"/>
      <c r="G53" s="662"/>
      <c r="H53" s="662"/>
      <c r="I53" s="662"/>
      <c r="J53" s="662"/>
      <c r="K53" s="662"/>
      <c r="L53" s="287"/>
    </row>
    <row r="54" spans="2:12" ht="48.75" customHeight="1">
      <c r="B54" s="134" t="s">
        <v>315</v>
      </c>
      <c r="C54" s="372">
        <v>0.3</v>
      </c>
      <c r="E54" s="662" t="s">
        <v>541</v>
      </c>
      <c r="F54" s="662"/>
      <c r="G54" s="662"/>
      <c r="H54" s="662"/>
      <c r="I54" s="662"/>
      <c r="J54" s="662"/>
      <c r="K54" s="662"/>
      <c r="L54" s="287"/>
    </row>
    <row r="55" spans="2:12" ht="6.75" customHeight="1"/>
    <row r="56" spans="2:12">
      <c r="B56" t="s">
        <v>316</v>
      </c>
    </row>
    <row r="57" spans="2:12" ht="8.25" customHeight="1"/>
    <row r="58" spans="2:12" ht="25.5" customHeight="1">
      <c r="B58" s="659" t="s">
        <v>546</v>
      </c>
      <c r="C58" s="661" t="s">
        <v>9</v>
      </c>
      <c r="D58" s="224" t="s">
        <v>544</v>
      </c>
      <c r="E58" s="224"/>
      <c r="H58" s="659" t="s">
        <v>549</v>
      </c>
      <c r="I58" s="663" t="s">
        <v>9</v>
      </c>
      <c r="J58" s="224" t="s">
        <v>544</v>
      </c>
      <c r="K58" s="224"/>
    </row>
    <row r="59" spans="2:12">
      <c r="B59" s="660"/>
      <c r="C59" s="661"/>
      <c r="D59" s="132" t="s">
        <v>24</v>
      </c>
      <c r="E59" s="132" t="s">
        <v>25</v>
      </c>
      <c r="H59" s="660"/>
      <c r="I59" s="664"/>
      <c r="J59" s="132" t="s">
        <v>24</v>
      </c>
      <c r="K59" s="132" t="s">
        <v>25</v>
      </c>
    </row>
    <row r="60" spans="2:12">
      <c r="B60" s="134" t="s">
        <v>4</v>
      </c>
      <c r="C60" s="373">
        <v>0.26</v>
      </c>
      <c r="D60" s="375">
        <v>0.56999999999999995</v>
      </c>
      <c r="E60" s="375">
        <v>0.43</v>
      </c>
      <c r="H60" s="132" t="s">
        <v>62</v>
      </c>
      <c r="I60" s="373">
        <v>0.15</v>
      </c>
      <c r="J60" s="376">
        <v>0.75</v>
      </c>
      <c r="K60" s="376">
        <v>0.25</v>
      </c>
    </row>
    <row r="61" spans="2:12">
      <c r="B61" s="134" t="s">
        <v>5</v>
      </c>
      <c r="C61" s="373">
        <v>0.74</v>
      </c>
      <c r="D61" s="375">
        <v>0.81</v>
      </c>
      <c r="E61" s="375">
        <v>0.19</v>
      </c>
      <c r="H61" s="132" t="s">
        <v>63</v>
      </c>
      <c r="I61" s="373">
        <v>0.3</v>
      </c>
      <c r="J61" s="376">
        <v>0.83</v>
      </c>
      <c r="K61" s="376">
        <v>0.17</v>
      </c>
    </row>
    <row r="62" spans="2:12">
      <c r="H62" s="132" t="s">
        <v>64</v>
      </c>
      <c r="I62" s="373">
        <v>0.55000000000000004</v>
      </c>
      <c r="J62" s="376">
        <v>0.82</v>
      </c>
      <c r="K62" s="376">
        <v>0.18</v>
      </c>
    </row>
    <row r="63" spans="2:12">
      <c r="B63" s="659" t="s">
        <v>550</v>
      </c>
      <c r="C63" s="661" t="s">
        <v>9</v>
      </c>
      <c r="D63" s="224" t="s">
        <v>544</v>
      </c>
      <c r="E63" s="224"/>
    </row>
    <row r="64" spans="2:12" s="225" customFormat="1">
      <c r="B64" s="660"/>
      <c r="C64" s="661"/>
      <c r="D64" s="132" t="s">
        <v>24</v>
      </c>
      <c r="E64" s="132" t="s">
        <v>25</v>
      </c>
      <c r="G64"/>
      <c r="H64"/>
      <c r="I64"/>
      <c r="J64"/>
    </row>
    <row r="65" spans="2:11">
      <c r="B65" s="134" t="s">
        <v>50</v>
      </c>
      <c r="C65" s="373">
        <v>0.64</v>
      </c>
      <c r="D65" s="375">
        <v>0.84</v>
      </c>
      <c r="E65" s="375">
        <v>0.16</v>
      </c>
    </row>
    <row r="66" spans="2:11">
      <c r="B66" s="134" t="s">
        <v>547</v>
      </c>
      <c r="C66" s="373">
        <v>0.36</v>
      </c>
      <c r="D66" s="375">
        <v>0.76</v>
      </c>
      <c r="E66" s="375">
        <v>0.24</v>
      </c>
      <c r="H66" s="14" t="s">
        <v>317</v>
      </c>
      <c r="I66" s="661" t="s">
        <v>9</v>
      </c>
      <c r="J66" s="224" t="s">
        <v>544</v>
      </c>
      <c r="K66" s="224"/>
    </row>
    <row r="67" spans="2:11">
      <c r="I67" s="661"/>
      <c r="J67" s="132" t="s">
        <v>24</v>
      </c>
      <c r="K67" s="132" t="s">
        <v>25</v>
      </c>
    </row>
    <row r="68" spans="2:11" ht="26.25" customHeight="1">
      <c r="B68" s="659" t="s">
        <v>551</v>
      </c>
      <c r="C68" s="661" t="s">
        <v>548</v>
      </c>
      <c r="D68" s="224" t="s">
        <v>544</v>
      </c>
      <c r="E68" s="224"/>
      <c r="H68" s="134" t="s">
        <v>318</v>
      </c>
      <c r="I68" s="373">
        <v>0.35</v>
      </c>
      <c r="J68" s="374"/>
      <c r="K68" s="374"/>
    </row>
    <row r="69" spans="2:11" ht="34.5" customHeight="1">
      <c r="B69" s="660"/>
      <c r="C69" s="661"/>
      <c r="D69" s="132" t="s">
        <v>24</v>
      </c>
      <c r="E69" s="132" t="s">
        <v>25</v>
      </c>
      <c r="H69" s="134" t="s">
        <v>319</v>
      </c>
      <c r="I69" s="373">
        <v>0.27</v>
      </c>
      <c r="J69" s="376">
        <v>0.79</v>
      </c>
      <c r="K69" s="376">
        <v>0.21</v>
      </c>
    </row>
    <row r="70" spans="2:11">
      <c r="B70" s="134" t="s">
        <v>50</v>
      </c>
      <c r="C70" s="373">
        <v>0.7</v>
      </c>
      <c r="D70" s="375">
        <v>0.72</v>
      </c>
      <c r="E70" s="375">
        <v>0.28000000000000003</v>
      </c>
      <c r="H70" s="134" t="s">
        <v>320</v>
      </c>
      <c r="I70" s="373">
        <v>0.24</v>
      </c>
      <c r="J70" s="376">
        <v>0.85</v>
      </c>
      <c r="K70" s="376">
        <v>0.15</v>
      </c>
    </row>
    <row r="71" spans="2:11">
      <c r="B71" s="134" t="s">
        <v>547</v>
      </c>
      <c r="C71" s="373">
        <v>0.3</v>
      </c>
      <c r="D71" s="375">
        <v>0.28000000000000003</v>
      </c>
      <c r="E71" s="375">
        <v>0.72</v>
      </c>
      <c r="H71" s="134" t="s">
        <v>321</v>
      </c>
      <c r="I71" s="373">
        <v>0.14000000000000001</v>
      </c>
      <c r="J71" s="374"/>
      <c r="K71" s="374"/>
    </row>
    <row r="72" spans="2:11" ht="7.5" customHeight="1"/>
  </sheetData>
  <mergeCells count="14">
    <mergeCell ref="G27:J27"/>
    <mergeCell ref="C27:F27"/>
    <mergeCell ref="B68:B69"/>
    <mergeCell ref="C68:C69"/>
    <mergeCell ref="C58:C59"/>
    <mergeCell ref="E52:K52"/>
    <mergeCell ref="E53:K53"/>
    <mergeCell ref="E54:K54"/>
    <mergeCell ref="I66:I67"/>
    <mergeCell ref="I58:I59"/>
    <mergeCell ref="B58:B59"/>
    <mergeCell ref="H58:H59"/>
    <mergeCell ref="B63:B64"/>
    <mergeCell ref="C63:C64"/>
  </mergeCells>
  <pageMargins left="0.25" right="0.25" top="0.75" bottom="0.75" header="0.3" footer="0.3"/>
  <pageSetup paperSize="9" scale="90" orientation="landscape" horizontalDpi="4294967293" r:id="rId1"/>
  <headerFooter>
    <oddHeader>&amp;C&amp;"-,Gras"Chapitre IV - Santé et QVT
2. Actions sociales et service social</oddHeader>
    <oddFooter>&amp;C&amp;"-,Gras"Base de Données Sociales 2023&amp;R&amp;P</oddFooter>
  </headerFooter>
  <rowBreaks count="2" manualBreakCount="2">
    <brk id="32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F1304-18BE-4172-86E4-D52C85F1CBD0}">
  <sheetPr codeName="Feuil1">
    <tabColor rgb="FF92D050"/>
  </sheetPr>
  <dimension ref="A2:G19"/>
  <sheetViews>
    <sheetView showGridLines="0" view="pageLayout" zoomScaleNormal="100" workbookViewId="0">
      <selection activeCell="C7" sqref="C7:E15"/>
    </sheetView>
  </sheetViews>
  <sheetFormatPr baseColWidth="10" defaultRowHeight="15"/>
  <cols>
    <col min="1" max="1" width="25.140625" customWidth="1"/>
    <col min="2" max="2" width="13.140625" customWidth="1"/>
    <col min="3" max="3" width="16.28515625" customWidth="1"/>
    <col min="4" max="4" width="16.28515625" bestFit="1" customWidth="1"/>
    <col min="5" max="6" width="13.140625" customWidth="1"/>
    <col min="7" max="7" width="16.42578125" customWidth="1"/>
  </cols>
  <sheetData>
    <row r="2" spans="1:5" ht="18.75">
      <c r="A2" s="7" t="s">
        <v>2</v>
      </c>
      <c r="B2" s="9" t="s">
        <v>527</v>
      </c>
    </row>
    <row r="3" spans="1:5">
      <c r="B3" s="289" t="str">
        <f>LEFT(B2,4)</f>
        <v>1602</v>
      </c>
    </row>
    <row r="4" spans="1:5" ht="32.25" customHeight="1">
      <c r="A4" s="8" t="s">
        <v>11</v>
      </c>
      <c r="B4" s="356">
        <f>1598/B3</f>
        <v>0.99750312109862671</v>
      </c>
    </row>
    <row r="6" spans="1:5">
      <c r="A6" s="1"/>
      <c r="C6" s="2" t="s">
        <v>0</v>
      </c>
      <c r="D6" s="2" t="s">
        <v>1</v>
      </c>
      <c r="E6" s="3" t="s">
        <v>10</v>
      </c>
    </row>
    <row r="7" spans="1:5">
      <c r="A7" s="597" t="s">
        <v>4</v>
      </c>
      <c r="B7" s="4" t="s">
        <v>6</v>
      </c>
      <c r="C7" s="498">
        <v>643.90583333333336</v>
      </c>
      <c r="D7" s="499"/>
      <c r="E7" s="500">
        <f>SUM(C7:D7)</f>
        <v>643.90583333333336</v>
      </c>
    </row>
    <row r="8" spans="1:5">
      <c r="A8" s="598"/>
      <c r="B8" s="5" t="s">
        <v>7</v>
      </c>
      <c r="C8" s="501">
        <v>8.75</v>
      </c>
      <c r="D8" s="502">
        <v>10.683333333333332</v>
      </c>
      <c r="E8" s="503">
        <f t="shared" ref="E8:E9" si="0">SUM(C8:D8)</f>
        <v>19.43333333333333</v>
      </c>
    </row>
    <row r="9" spans="1:5">
      <c r="A9" s="598"/>
      <c r="B9" s="6" t="s">
        <v>8</v>
      </c>
      <c r="C9" s="504">
        <v>171.4666666666667</v>
      </c>
      <c r="D9" s="505">
        <v>109.85666666666667</v>
      </c>
      <c r="E9" s="506">
        <f t="shared" si="0"/>
        <v>281.32333333333338</v>
      </c>
    </row>
    <row r="10" spans="1:5">
      <c r="A10" s="599"/>
      <c r="B10" s="3" t="s">
        <v>9</v>
      </c>
      <c r="C10" s="340">
        <f>SUM(C7:C9)</f>
        <v>824.12250000000006</v>
      </c>
      <c r="D10" s="340">
        <f t="shared" ref="D10:E10" si="1">SUM(D7:D9)</f>
        <v>120.54</v>
      </c>
      <c r="E10" s="340">
        <f t="shared" si="1"/>
        <v>944.66250000000002</v>
      </c>
    </row>
    <row r="11" spans="1:5">
      <c r="A11" s="597" t="s">
        <v>5</v>
      </c>
      <c r="B11" s="4" t="s">
        <v>6</v>
      </c>
      <c r="C11" s="498">
        <v>386.77916666666653</v>
      </c>
      <c r="D11" s="499"/>
      <c r="E11" s="500">
        <f>SUM(C11:D11)</f>
        <v>386.77916666666653</v>
      </c>
    </row>
    <row r="12" spans="1:5">
      <c r="A12" s="598"/>
      <c r="B12" s="5" t="s">
        <v>7</v>
      </c>
      <c r="C12" s="501">
        <v>64.580833333333331</v>
      </c>
      <c r="D12" s="502">
        <v>34.317499999999995</v>
      </c>
      <c r="E12" s="503">
        <f t="shared" ref="E12:E13" si="2">SUM(C12:D12)</f>
        <v>98.898333333333326</v>
      </c>
    </row>
    <row r="13" spans="1:5">
      <c r="A13" s="598"/>
      <c r="B13" s="6" t="s">
        <v>8</v>
      </c>
      <c r="C13" s="504">
        <v>110.44083333333333</v>
      </c>
      <c r="D13" s="505">
        <v>57.20750000000001</v>
      </c>
      <c r="E13" s="506">
        <f t="shared" si="2"/>
        <v>167.64833333333334</v>
      </c>
    </row>
    <row r="14" spans="1:5">
      <c r="A14" s="599"/>
      <c r="B14" s="3" t="s">
        <v>9</v>
      </c>
      <c r="C14" s="340">
        <f>SUM(C11:C13)</f>
        <v>561.80083333333323</v>
      </c>
      <c r="D14" s="341">
        <f t="shared" ref="D14" si="3">SUM(D11:D13)</f>
        <v>91.525000000000006</v>
      </c>
      <c r="E14" s="342">
        <f t="shared" ref="E14" si="4">SUM(E11:E13)</f>
        <v>653.32583333333321</v>
      </c>
    </row>
    <row r="15" spans="1:5">
      <c r="A15" s="343" t="s">
        <v>452</v>
      </c>
      <c r="B15" s="343"/>
      <c r="C15" s="344">
        <f>C14+C10</f>
        <v>1385.9233333333332</v>
      </c>
      <c r="D15" s="344">
        <f t="shared" ref="D15:E15" si="5">D14+D10</f>
        <v>212.065</v>
      </c>
      <c r="E15" s="344">
        <f t="shared" si="5"/>
        <v>1597.9883333333332</v>
      </c>
    </row>
    <row r="17" spans="1:7">
      <c r="A17" s="12" t="s">
        <v>3</v>
      </c>
      <c r="C17" s="2" t="s">
        <v>0</v>
      </c>
      <c r="D17" s="2" t="s">
        <v>1</v>
      </c>
      <c r="E17" s="3" t="s">
        <v>10</v>
      </c>
      <c r="F17" s="10" t="s">
        <v>12</v>
      </c>
      <c r="G17" s="11" t="s">
        <v>13</v>
      </c>
    </row>
    <row r="18" spans="1:7">
      <c r="B18" s="3">
        <v>2021</v>
      </c>
      <c r="C18" s="351">
        <v>1374</v>
      </c>
      <c r="D18" s="352">
        <v>177</v>
      </c>
      <c r="E18" s="353">
        <v>1535</v>
      </c>
      <c r="F18" s="354">
        <v>1550.62</v>
      </c>
      <c r="G18" s="355">
        <v>0.98970000000000002</v>
      </c>
    </row>
    <row r="19" spans="1:7">
      <c r="B19" s="3">
        <v>2022</v>
      </c>
      <c r="C19" s="351">
        <v>1386</v>
      </c>
      <c r="D19" s="352">
        <v>189</v>
      </c>
      <c r="E19" s="353">
        <v>1561</v>
      </c>
      <c r="F19" s="354">
        <v>1574.85</v>
      </c>
      <c r="G19" s="355">
        <v>0.99099999999999999</v>
      </c>
    </row>
  </sheetData>
  <mergeCells count="2">
    <mergeCell ref="A7:A10"/>
    <mergeCell ref="A11:A14"/>
  </mergeCells>
  <pageMargins left="0.7" right="0.7" top="0.77083333333333337" bottom="0.75" header="0.3" footer="0.3"/>
  <pageSetup paperSize="9" orientation="landscape" r:id="rId1"/>
  <headerFooter>
    <oddHeader>&amp;C&amp;"Comic Sans MS,Gras"Chapitre I - Emploi - Effectif - Démographie - Parité femmes/hommes
1. Le plafond d'emploi</oddHeader>
    <oddFooter>&amp;C&amp;"-,Gras"&amp;12Base de Données Sociales 2023&amp;R&amp;P</oddFooter>
  </headerFooter>
  <ignoredErrors>
    <ignoredError sqref="E1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E629-0543-4469-816B-08AB7BBFF2B1}">
  <sheetPr codeName="Feuil17">
    <tabColor rgb="FF92D050"/>
  </sheetPr>
  <dimension ref="B1:AO138"/>
  <sheetViews>
    <sheetView showGridLines="0" view="pageBreakPreview" topLeftCell="O1" zoomScale="80" zoomScaleNormal="100" zoomScaleSheetLayoutView="80" zoomScalePageLayoutView="30" workbookViewId="0">
      <selection activeCell="AG25" sqref="AG25"/>
    </sheetView>
  </sheetViews>
  <sheetFormatPr baseColWidth="10" defaultRowHeight="15"/>
  <cols>
    <col min="1" max="1" width="1.42578125" customWidth="1"/>
    <col min="2" max="2" width="25.28515625" customWidth="1"/>
    <col min="3" max="3" width="12.28515625" bestFit="1" customWidth="1"/>
    <col min="4" max="4" width="11.7109375" bestFit="1" customWidth="1"/>
    <col min="5" max="5" width="12.7109375" bestFit="1" customWidth="1"/>
    <col min="6" max="6" width="5.85546875" bestFit="1" customWidth="1"/>
    <col min="7" max="7" width="12.140625" bestFit="1" customWidth="1"/>
    <col min="8" max="12" width="5.85546875" bestFit="1" customWidth="1"/>
    <col min="13" max="13" width="5.7109375" customWidth="1"/>
    <col min="14" max="14" width="10.140625" bestFit="1" customWidth="1"/>
    <col min="15" max="15" width="2.7109375" customWidth="1"/>
    <col min="16" max="16" width="24.5703125" customWidth="1"/>
    <col min="17" max="17" width="12.28515625" bestFit="1" customWidth="1"/>
    <col min="18" max="18" width="11.7109375" bestFit="1" customWidth="1"/>
    <col min="19" max="19" width="12.7109375" bestFit="1" customWidth="1"/>
    <col min="20" max="20" width="6.5703125" bestFit="1" customWidth="1"/>
    <col min="21" max="21" width="11.42578125" bestFit="1" customWidth="1"/>
    <col min="22" max="22" width="5.85546875" bestFit="1" customWidth="1"/>
    <col min="23" max="26" width="5.7109375" bestFit="1" customWidth="1"/>
    <col min="27" max="27" width="10.140625" bestFit="1" customWidth="1"/>
    <col min="29" max="30" width="1.7109375" customWidth="1"/>
    <col min="31" max="31" width="29.7109375" customWidth="1"/>
    <col min="32" max="32" width="19.7109375" bestFit="1" customWidth="1"/>
    <col min="33" max="33" width="15" customWidth="1"/>
    <col min="36" max="36" width="15.42578125" customWidth="1"/>
    <col min="39" max="39" width="16.28515625" customWidth="1"/>
    <col min="41" max="41" width="3.5703125" customWidth="1"/>
  </cols>
  <sheetData>
    <row r="1" spans="2:41" ht="15.75">
      <c r="B1" s="13" t="s">
        <v>322</v>
      </c>
      <c r="P1" s="13" t="s">
        <v>337</v>
      </c>
    </row>
    <row r="2" spans="2:41" ht="42.75" customHeight="1">
      <c r="AD2" s="564"/>
      <c r="AE2" s="564"/>
      <c r="AF2" s="565" t="s">
        <v>9</v>
      </c>
      <c r="AG2" s="566"/>
      <c r="AH2" s="567"/>
      <c r="AI2" s="565" t="s">
        <v>5</v>
      </c>
      <c r="AJ2" s="566"/>
      <c r="AK2" s="567"/>
      <c r="AL2" s="565" t="s">
        <v>210</v>
      </c>
      <c r="AM2" s="566"/>
      <c r="AN2" s="567"/>
      <c r="AO2" s="322"/>
    </row>
    <row r="3" spans="2:41" ht="17.25">
      <c r="B3" s="294"/>
      <c r="C3" s="294"/>
      <c r="D3" s="294" t="s">
        <v>24</v>
      </c>
      <c r="E3" s="294" t="s">
        <v>25</v>
      </c>
      <c r="F3" s="294" t="s">
        <v>9</v>
      </c>
      <c r="P3" s="294"/>
      <c r="Q3" s="294"/>
      <c r="R3" s="294" t="s">
        <v>24</v>
      </c>
      <c r="S3" s="294" t="s">
        <v>25</v>
      </c>
      <c r="T3" s="294" t="s">
        <v>9</v>
      </c>
      <c r="AE3" s="564"/>
      <c r="AF3" s="568" t="s">
        <v>9</v>
      </c>
      <c r="AG3" s="569" t="s">
        <v>684</v>
      </c>
      <c r="AH3" s="568" t="s">
        <v>685</v>
      </c>
      <c r="AI3" s="568" t="s">
        <v>9</v>
      </c>
      <c r="AJ3" s="569" t="s">
        <v>684</v>
      </c>
      <c r="AK3" s="568" t="s">
        <v>685</v>
      </c>
      <c r="AL3" s="568" t="s">
        <v>9</v>
      </c>
      <c r="AM3" s="569" t="s">
        <v>684</v>
      </c>
      <c r="AN3" s="568" t="s">
        <v>685</v>
      </c>
    </row>
    <row r="4" spans="2:41" ht="22.5">
      <c r="B4" s="294"/>
      <c r="C4" s="294" t="s">
        <v>50</v>
      </c>
      <c r="D4" s="294">
        <v>45</v>
      </c>
      <c r="E4" s="294">
        <v>31</v>
      </c>
      <c r="F4" s="294">
        <f>SUM(D4:E4)</f>
        <v>76</v>
      </c>
      <c r="P4" s="294"/>
      <c r="Q4" s="294" t="s">
        <v>50</v>
      </c>
      <c r="R4" s="294">
        <v>1069</v>
      </c>
      <c r="S4" s="294">
        <v>1019</v>
      </c>
      <c r="T4" s="294">
        <f>SUM(R4:S4)</f>
        <v>2088</v>
      </c>
      <c r="AE4" s="570" t="s">
        <v>686</v>
      </c>
      <c r="AF4" s="571">
        <v>1674.25</v>
      </c>
      <c r="AG4" s="571">
        <v>623.75</v>
      </c>
      <c r="AH4" s="572">
        <v>1050.5</v>
      </c>
      <c r="AI4" s="572">
        <v>691.16666666666663</v>
      </c>
      <c r="AJ4" s="572">
        <v>289.83333333333331</v>
      </c>
      <c r="AK4" s="572">
        <v>401.33333333333331</v>
      </c>
      <c r="AL4" s="572">
        <v>983.08333333333326</v>
      </c>
      <c r="AM4" s="572">
        <v>333.91666666666669</v>
      </c>
      <c r="AN4" s="572">
        <v>649.16666666666663</v>
      </c>
    </row>
    <row r="5" spans="2:41" ht="22.5">
      <c r="B5" s="295" t="s">
        <v>323</v>
      </c>
      <c r="C5" s="294" t="s">
        <v>324</v>
      </c>
      <c r="D5" s="294">
        <v>24</v>
      </c>
      <c r="E5" s="294">
        <v>11</v>
      </c>
      <c r="F5" s="294">
        <f t="shared" ref="F5:F6" si="0">SUM(D5:E5)</f>
        <v>35</v>
      </c>
      <c r="O5" s="262"/>
      <c r="P5" s="295" t="s">
        <v>323</v>
      </c>
      <c r="Q5" s="294" t="s">
        <v>324</v>
      </c>
      <c r="R5" s="294">
        <v>437</v>
      </c>
      <c r="S5" s="294">
        <v>486</v>
      </c>
      <c r="T5" s="294">
        <f t="shared" ref="T5:T6" si="1">SUM(R5:S5)</f>
        <v>923</v>
      </c>
      <c r="AE5" s="573" t="s">
        <v>687</v>
      </c>
      <c r="AF5" s="574"/>
      <c r="AG5" s="575"/>
      <c r="AH5" s="576"/>
      <c r="AI5" s="575"/>
      <c r="AJ5" s="575"/>
      <c r="AK5" s="575"/>
      <c r="AL5" s="575"/>
      <c r="AM5" s="575"/>
      <c r="AN5" s="575"/>
    </row>
    <row r="6" spans="2:41" ht="17.25">
      <c r="B6" s="295"/>
      <c r="C6" s="294" t="s">
        <v>9</v>
      </c>
      <c r="D6" s="294">
        <f>SUM(D4:D5)</f>
        <v>69</v>
      </c>
      <c r="E6" s="294">
        <f>SUM(E4:E5)</f>
        <v>42</v>
      </c>
      <c r="F6" s="294">
        <f t="shared" si="0"/>
        <v>111</v>
      </c>
      <c r="P6" s="295"/>
      <c r="Q6" s="294" t="s">
        <v>9</v>
      </c>
      <c r="R6" s="294">
        <f>SUM(R4:R5)</f>
        <v>1506</v>
      </c>
      <c r="S6" s="294">
        <f>SUM(S4:S5)</f>
        <v>1505</v>
      </c>
      <c r="T6" s="294">
        <f t="shared" si="1"/>
        <v>3011</v>
      </c>
      <c r="AE6" s="577" t="s">
        <v>688</v>
      </c>
      <c r="AF6" s="578">
        <v>10.154397491414066</v>
      </c>
      <c r="AG6" s="579">
        <v>8.5675350701402806</v>
      </c>
      <c r="AH6" s="579">
        <v>9.2160184647884567</v>
      </c>
      <c r="AI6" s="579">
        <v>17.455992283578492</v>
      </c>
      <c r="AJ6" s="579">
        <v>13.150728951730205</v>
      </c>
      <c r="AK6" s="579">
        <v>20.6206431237439</v>
      </c>
      <c r="AL6" s="579">
        <v>5.020937526489786</v>
      </c>
      <c r="AM6" s="579">
        <v>4.686798103319191</v>
      </c>
      <c r="AN6" s="579">
        <v>5.1928128789032604</v>
      </c>
    </row>
    <row r="7" spans="2:41" ht="17.25">
      <c r="B7" s="294"/>
      <c r="C7" s="294" t="s">
        <v>50</v>
      </c>
      <c r="D7" s="294">
        <v>124</v>
      </c>
      <c r="E7" s="294">
        <v>41</v>
      </c>
      <c r="F7" s="294">
        <f>SUM(D7:E7)</f>
        <v>165</v>
      </c>
      <c r="P7" s="294"/>
      <c r="Q7" s="294" t="s">
        <v>50</v>
      </c>
      <c r="R7" s="294">
        <v>6952</v>
      </c>
      <c r="S7" s="294">
        <v>1768</v>
      </c>
      <c r="T7" s="294">
        <f>SUM(R7:S7)</f>
        <v>8720</v>
      </c>
      <c r="AE7" s="580" t="s">
        <v>689</v>
      </c>
      <c r="AF7" s="578">
        <v>5.4848439599820811</v>
      </c>
      <c r="AG7" s="579">
        <v>4.2821643286573146</v>
      </c>
      <c r="AH7" s="579">
        <v>6.1989528795811522</v>
      </c>
      <c r="AI7" s="579">
        <v>9.0441282855075968</v>
      </c>
      <c r="AJ7" s="579">
        <v>7.2317423806785524</v>
      </c>
      <c r="AK7" s="579">
        <v>10.352990033222593</v>
      </c>
      <c r="AL7" s="579">
        <v>2.9824531660591678</v>
      </c>
      <c r="AM7" s="579">
        <v>1.7219865235837284</v>
      </c>
      <c r="AN7" s="579">
        <v>3.6308087291399231</v>
      </c>
    </row>
    <row r="8" spans="2:41" ht="17.25">
      <c r="B8" s="295" t="s">
        <v>5</v>
      </c>
      <c r="C8" s="294" t="s">
        <v>324</v>
      </c>
      <c r="D8" s="294">
        <v>83</v>
      </c>
      <c r="E8" s="294">
        <v>32</v>
      </c>
      <c r="F8" s="294">
        <f>SUM(D8:E8)</f>
        <v>115</v>
      </c>
      <c r="P8" s="295" t="s">
        <v>5</v>
      </c>
      <c r="Q8" s="294" t="s">
        <v>324</v>
      </c>
      <c r="R8" s="294">
        <v>2929</v>
      </c>
      <c r="S8" s="294">
        <v>1086</v>
      </c>
      <c r="T8" s="294">
        <f>SUM(R8:S8)</f>
        <v>4015</v>
      </c>
      <c r="AE8" s="581" t="s">
        <v>690</v>
      </c>
      <c r="AF8" s="582">
        <v>1.9626698521726147</v>
      </c>
      <c r="AG8" s="579">
        <v>1.7298597194388778</v>
      </c>
      <c r="AH8" s="579">
        <v>2.1009043312708235</v>
      </c>
      <c r="AI8" s="579">
        <v>3.5317096696407044</v>
      </c>
      <c r="AJ8" s="579">
        <v>3.1535365152386432</v>
      </c>
      <c r="AK8" s="579">
        <v>3.8048172757475083</v>
      </c>
      <c r="AL8" s="583">
        <v>0.85954056115961697</v>
      </c>
      <c r="AM8" s="583">
        <v>0.49413526328924379</v>
      </c>
      <c r="AN8" s="583">
        <v>1.0474967907573813</v>
      </c>
    </row>
    <row r="9" spans="2:41" ht="17.25">
      <c r="B9" s="295"/>
      <c r="C9" s="294" t="s">
        <v>9</v>
      </c>
      <c r="D9" s="294">
        <f>SUM(D7:D8)</f>
        <v>207</v>
      </c>
      <c r="E9" s="294">
        <f>SUM(E7:E8)</f>
        <v>73</v>
      </c>
      <c r="F9" s="294">
        <f t="shared" ref="F9" si="2">SUM(D9:E9)</f>
        <v>280</v>
      </c>
      <c r="P9" s="295"/>
      <c r="Q9" s="294" t="s">
        <v>9</v>
      </c>
      <c r="R9" s="294">
        <f>SUM(R7:R8)</f>
        <v>9881</v>
      </c>
      <c r="S9" s="294">
        <f>SUM(S7:S8)</f>
        <v>2854</v>
      </c>
      <c r="T9" s="294">
        <f t="shared" ref="T9" si="3">SUM(R9:S9)</f>
        <v>12735</v>
      </c>
      <c r="AE9" s="581" t="s">
        <v>691</v>
      </c>
      <c r="AF9" s="582">
        <v>1.5881738091682842</v>
      </c>
      <c r="AG9" s="579">
        <v>1.0869739478957916</v>
      </c>
      <c r="AH9" s="579">
        <v>1.8857686815801999</v>
      </c>
      <c r="AI9" s="583">
        <v>2.5348444658789488</v>
      </c>
      <c r="AJ9" s="583">
        <v>1.4215066129959748</v>
      </c>
      <c r="AK9" s="583">
        <v>3.3388704318936879</v>
      </c>
      <c r="AL9" s="583">
        <v>0.92260744257014504</v>
      </c>
      <c r="AM9" s="583">
        <v>0.79660593960569004</v>
      </c>
      <c r="AN9" s="583">
        <v>0.98741976893453154</v>
      </c>
    </row>
    <row r="10" spans="2:41" ht="17.25">
      <c r="B10" s="294"/>
      <c r="C10" s="294" t="s">
        <v>50</v>
      </c>
      <c r="D10" s="294">
        <f>SUM(D7,D4)</f>
        <v>169</v>
      </c>
      <c r="E10" s="294">
        <f>SUM(E7,E4)</f>
        <v>72</v>
      </c>
      <c r="F10" s="294">
        <f>SUM(D10:E10)</f>
        <v>241</v>
      </c>
      <c r="P10" s="294"/>
      <c r="Q10" s="294" t="s">
        <v>50</v>
      </c>
      <c r="R10" s="294">
        <f>SUM(R7,R4)</f>
        <v>8021</v>
      </c>
      <c r="S10" s="294">
        <f>SUM(S7,S4)</f>
        <v>2787</v>
      </c>
      <c r="T10" s="294">
        <f>SUM(R10:S10)</f>
        <v>10808</v>
      </c>
      <c r="AE10" s="581" t="s">
        <v>692</v>
      </c>
      <c r="AF10" s="582">
        <v>1.9340002986411826</v>
      </c>
      <c r="AG10" s="579">
        <v>1.4653306613226453</v>
      </c>
      <c r="AH10" s="579">
        <v>2.2122798667301287</v>
      </c>
      <c r="AI10" s="583">
        <v>2.9775741499879431</v>
      </c>
      <c r="AJ10" s="583">
        <v>2.6566992524439335</v>
      </c>
      <c r="AK10" s="583">
        <v>3.2093023255813957</v>
      </c>
      <c r="AL10" s="583">
        <v>1.2003051623294059</v>
      </c>
      <c r="AM10" s="583">
        <v>0.43124532068879456</v>
      </c>
      <c r="AN10" s="583">
        <v>1.5958921694480104</v>
      </c>
    </row>
    <row r="11" spans="2:41" ht="17.25">
      <c r="B11" s="295" t="s">
        <v>9</v>
      </c>
      <c r="C11" s="294" t="s">
        <v>324</v>
      </c>
      <c r="D11" s="294">
        <f>SUM(D8,D5)</f>
        <v>107</v>
      </c>
      <c r="E11" s="294">
        <f>SUM(E8,E5)</f>
        <v>43</v>
      </c>
      <c r="F11" s="294">
        <f>SUM(D11:E11)</f>
        <v>150</v>
      </c>
      <c r="P11" s="295" t="s">
        <v>9</v>
      </c>
      <c r="Q11" s="294" t="s">
        <v>324</v>
      </c>
      <c r="R11" s="294">
        <f>SUM(R8,R5)</f>
        <v>3366</v>
      </c>
      <c r="S11" s="294">
        <f>SUM(S8,S5)</f>
        <v>1572</v>
      </c>
      <c r="T11" s="294">
        <f>SUM(R11:S11)</f>
        <v>4938</v>
      </c>
      <c r="AE11" s="581" t="s">
        <v>693</v>
      </c>
      <c r="AF11" s="584">
        <v>0.93713603105868304</v>
      </c>
      <c r="AG11" s="585">
        <v>0.47935871743486974</v>
      </c>
      <c r="AH11" s="585">
        <v>1.2089481199428844</v>
      </c>
      <c r="AI11" s="585">
        <v>1.7159392331806125</v>
      </c>
      <c r="AJ11" s="585">
        <v>1.0316273720529041</v>
      </c>
      <c r="AK11" s="585">
        <v>2.2101328903654487</v>
      </c>
      <c r="AL11" s="585">
        <v>0.38959057387471396</v>
      </c>
      <c r="AM11" s="585" t="s">
        <v>702</v>
      </c>
      <c r="AN11" s="585">
        <v>0.58998716302952503</v>
      </c>
    </row>
    <row r="12" spans="2:41" ht="17.25">
      <c r="B12" s="295"/>
      <c r="C12" s="294" t="s">
        <v>325</v>
      </c>
      <c r="D12" s="294">
        <f>SUM(D10:D11)</f>
        <v>276</v>
      </c>
      <c r="E12" s="294">
        <f>SUM(E10:E11)</f>
        <v>115</v>
      </c>
      <c r="F12" s="294">
        <f>SUM(D12:E12)</f>
        <v>391</v>
      </c>
      <c r="P12" s="295"/>
      <c r="Q12" s="294" t="s">
        <v>325</v>
      </c>
      <c r="R12" s="294">
        <f>SUM(R10:R11)</f>
        <v>11387</v>
      </c>
      <c r="S12" s="294">
        <f>SUM(S10:S11)</f>
        <v>4359</v>
      </c>
      <c r="T12" s="294">
        <f>SUM(R12:S12)</f>
        <v>15746</v>
      </c>
      <c r="AE12" s="581" t="s">
        <v>694</v>
      </c>
      <c r="AF12" s="584">
        <v>1.1832163655368075</v>
      </c>
      <c r="AG12" s="585" t="s">
        <v>702</v>
      </c>
      <c r="AH12" s="585">
        <v>5.1664895385758903E-3</v>
      </c>
      <c r="AI12" s="585">
        <v>2.8661683144441765</v>
      </c>
      <c r="AJ12" s="585" t="s">
        <v>702</v>
      </c>
      <c r="AK12" s="585">
        <v>4.9360465116279073</v>
      </c>
      <c r="AL12" s="585" t="s">
        <v>702</v>
      </c>
      <c r="AM12" s="585" t="s">
        <v>702</v>
      </c>
      <c r="AN12" s="585" t="s">
        <v>702</v>
      </c>
    </row>
    <row r="13" spans="2:41" ht="17.25">
      <c r="AE13" s="581" t="s">
        <v>695</v>
      </c>
      <c r="AF13" s="584">
        <v>1.5744363147678064</v>
      </c>
      <c r="AG13" s="585">
        <v>3.0108216432865733</v>
      </c>
      <c r="AH13" s="585">
        <v>0.72156116135173731</v>
      </c>
      <c r="AI13" s="585">
        <v>1.4743187846636123</v>
      </c>
      <c r="AJ13" s="585">
        <v>3.0638297872340425</v>
      </c>
      <c r="AK13" s="585">
        <v>0.32641196013289037</v>
      </c>
      <c r="AL13" s="585">
        <v>1.6448249554971603</v>
      </c>
      <c r="AM13" s="585">
        <v>2.9648115797354628</v>
      </c>
      <c r="AN13" s="585">
        <v>0.96585365853658545</v>
      </c>
    </row>
    <row r="14" spans="2:41" ht="17.25">
      <c r="AE14" s="589" t="s">
        <v>696</v>
      </c>
      <c r="AF14" s="584">
        <v>0.97476482006868748</v>
      </c>
      <c r="AG14" s="585">
        <v>0.79519038076152304</v>
      </c>
      <c r="AH14" s="585">
        <v>1.0813898143741076</v>
      </c>
      <c r="AI14" s="585">
        <v>2.3554376657824934</v>
      </c>
      <c r="AJ14" s="585">
        <v>1.8235294117647058</v>
      </c>
      <c r="AK14" s="585">
        <v>2.7950617283950616</v>
      </c>
      <c r="AL14" s="585">
        <v>4.0688310587437488E-3</v>
      </c>
      <c r="AM14" s="585" t="s">
        <v>702</v>
      </c>
      <c r="AN14" s="585">
        <v>6.1633281972265025E-3</v>
      </c>
    </row>
    <row r="15" spans="2:41" ht="17.25">
      <c r="AE15" s="593" t="s">
        <v>338</v>
      </c>
      <c r="AF15" s="592">
        <v>3.0080121747419107E-2</v>
      </c>
      <c r="AG15" s="586">
        <v>2.9938232629642847E-2</v>
      </c>
      <c r="AH15" s="586">
        <v>3.0164370521538992E-2</v>
      </c>
      <c r="AI15" s="586">
        <v>5.451968909692103E-2</v>
      </c>
      <c r="AJ15" s="586">
        <v>4.634690067508488E-2</v>
      </c>
      <c r="AK15" s="586">
        <v>6.0421881399899881E-2</v>
      </c>
      <c r="AL15" s="586">
        <v>1.2897637082100047E-2</v>
      </c>
      <c r="AM15" s="586">
        <v>1.5695819986256927E-2</v>
      </c>
      <c r="AN15" s="586">
        <v>1.1458315015738478E-2</v>
      </c>
    </row>
    <row r="16" spans="2:41" ht="22.5">
      <c r="B16" s="13" t="s">
        <v>326</v>
      </c>
      <c r="P16" s="13" t="s">
        <v>326</v>
      </c>
      <c r="AE16" s="573" t="s">
        <v>697</v>
      </c>
      <c r="AF16" s="574"/>
      <c r="AG16" s="575"/>
      <c r="AH16" s="576"/>
      <c r="AI16" s="575"/>
      <c r="AJ16" s="575"/>
      <c r="AK16" s="575"/>
      <c r="AL16" s="575"/>
      <c r="AM16" s="575"/>
      <c r="AN16" s="575"/>
    </row>
    <row r="17" spans="2:40" ht="17.25">
      <c r="P17" s="294"/>
      <c r="Q17" s="294" t="s">
        <v>282</v>
      </c>
      <c r="R17" s="294" t="s">
        <v>158</v>
      </c>
      <c r="S17" s="294" t="s">
        <v>159</v>
      </c>
      <c r="T17" s="294" t="s">
        <v>160</v>
      </c>
      <c r="U17" s="294" t="s">
        <v>161</v>
      </c>
      <c r="V17" s="294" t="s">
        <v>162</v>
      </c>
      <c r="W17" s="294" t="s">
        <v>163</v>
      </c>
      <c r="X17" s="294" t="s">
        <v>164</v>
      </c>
      <c r="Y17" s="294" t="s">
        <v>165</v>
      </c>
      <c r="Z17" s="294" t="s">
        <v>166</v>
      </c>
      <c r="AA17" s="294" t="s">
        <v>327</v>
      </c>
      <c r="AE17" s="589" t="s">
        <v>698</v>
      </c>
      <c r="AF17" s="587">
        <v>16</v>
      </c>
      <c r="AG17" s="588">
        <v>7</v>
      </c>
      <c r="AH17" s="588">
        <v>9</v>
      </c>
      <c r="AI17" s="588">
        <v>15</v>
      </c>
      <c r="AJ17" s="588">
        <v>7</v>
      </c>
      <c r="AK17" s="588">
        <v>8</v>
      </c>
      <c r="AL17" s="588">
        <v>1</v>
      </c>
      <c r="AM17" s="588">
        <v>0</v>
      </c>
      <c r="AN17" s="588">
        <v>1</v>
      </c>
    </row>
    <row r="18" spans="2:40" ht="17.25">
      <c r="B18" s="294"/>
      <c r="C18" s="294" t="s">
        <v>366</v>
      </c>
      <c r="D18" s="294" t="s">
        <v>158</v>
      </c>
      <c r="E18" s="294" t="s">
        <v>159</v>
      </c>
      <c r="F18" s="294" t="s">
        <v>160</v>
      </c>
      <c r="G18" s="294" t="s">
        <v>161</v>
      </c>
      <c r="H18" s="294" t="s">
        <v>162</v>
      </c>
      <c r="I18" s="294" t="s">
        <v>163</v>
      </c>
      <c r="J18" s="294" t="s">
        <v>164</v>
      </c>
      <c r="K18" s="294" t="s">
        <v>165</v>
      </c>
      <c r="L18" s="294" t="s">
        <v>166</v>
      </c>
      <c r="M18" s="294" t="s">
        <v>445</v>
      </c>
      <c r="P18" s="294" t="s">
        <v>24</v>
      </c>
      <c r="Q18" s="294"/>
      <c r="R18" s="594">
        <v>410</v>
      </c>
      <c r="S18" s="594">
        <v>611</v>
      </c>
      <c r="T18" s="594">
        <v>943</v>
      </c>
      <c r="U18" s="594">
        <v>650</v>
      </c>
      <c r="V18" s="594">
        <v>1508</v>
      </c>
      <c r="W18" s="594">
        <v>1145</v>
      </c>
      <c r="X18" s="594">
        <v>1953</v>
      </c>
      <c r="Y18" s="594">
        <v>2746</v>
      </c>
      <c r="Z18" s="594">
        <v>1421</v>
      </c>
      <c r="AA18" s="294"/>
      <c r="AE18" s="589" t="s">
        <v>699</v>
      </c>
      <c r="AF18" s="587">
        <v>16</v>
      </c>
      <c r="AG18" s="588">
        <v>2</v>
      </c>
      <c r="AH18" s="588">
        <v>14</v>
      </c>
      <c r="AI18" s="588">
        <v>11</v>
      </c>
      <c r="AJ18" s="588">
        <v>1</v>
      </c>
      <c r="AK18" s="588">
        <v>10</v>
      </c>
      <c r="AL18" s="588">
        <v>5</v>
      </c>
      <c r="AM18" s="588">
        <v>1</v>
      </c>
      <c r="AN18" s="588">
        <v>4</v>
      </c>
    </row>
    <row r="19" spans="2:40" ht="17.25">
      <c r="B19" s="294" t="s">
        <v>24</v>
      </c>
      <c r="C19" s="294"/>
      <c r="D19" s="294">
        <v>15</v>
      </c>
      <c r="E19" s="294">
        <v>17</v>
      </c>
      <c r="F19" s="294">
        <v>33</v>
      </c>
      <c r="G19" s="294">
        <v>34</v>
      </c>
      <c r="H19" s="294">
        <v>39</v>
      </c>
      <c r="I19" s="294">
        <v>36</v>
      </c>
      <c r="J19" s="294">
        <v>44</v>
      </c>
      <c r="K19" s="294">
        <v>42</v>
      </c>
      <c r="L19" s="294">
        <v>16</v>
      </c>
      <c r="M19" s="294"/>
      <c r="P19" s="294" t="s">
        <v>25</v>
      </c>
      <c r="Q19" s="294"/>
      <c r="R19" s="594">
        <v>15</v>
      </c>
      <c r="S19" s="594">
        <v>188</v>
      </c>
      <c r="T19" s="594">
        <v>197</v>
      </c>
      <c r="U19" s="594">
        <v>251</v>
      </c>
      <c r="V19" s="594">
        <v>659</v>
      </c>
      <c r="W19" s="594">
        <v>908</v>
      </c>
      <c r="X19" s="594">
        <v>471</v>
      </c>
      <c r="Y19" s="594">
        <v>1071</v>
      </c>
      <c r="Z19" s="594">
        <v>599</v>
      </c>
      <c r="AA19" s="294"/>
      <c r="AE19" s="589" t="s">
        <v>700</v>
      </c>
      <c r="AF19" s="590">
        <v>5.9468063744932556</v>
      </c>
      <c r="AG19" s="590">
        <v>6.9834753514496324</v>
      </c>
      <c r="AH19" s="590">
        <v>5.3312687501462399</v>
      </c>
      <c r="AI19" s="590">
        <v>13.504938080609175</v>
      </c>
      <c r="AJ19" s="590">
        <v>15.029129673835682</v>
      </c>
      <c r="AK19" s="590">
        <v>12.404203371049004</v>
      </c>
      <c r="AL19" s="590">
        <v>0.6329855411860219</v>
      </c>
      <c r="AM19" s="590">
        <v>0</v>
      </c>
      <c r="AN19" s="590">
        <v>0.95857900248671368</v>
      </c>
    </row>
    <row r="20" spans="2:40" ht="17.25">
      <c r="B20" s="294" t="s">
        <v>25</v>
      </c>
      <c r="C20" s="294"/>
      <c r="D20" s="294">
        <v>4</v>
      </c>
      <c r="E20" s="294">
        <v>8</v>
      </c>
      <c r="F20" s="294">
        <v>9</v>
      </c>
      <c r="G20" s="294">
        <v>11</v>
      </c>
      <c r="H20" s="294">
        <v>15</v>
      </c>
      <c r="I20" s="294">
        <v>17</v>
      </c>
      <c r="J20" s="294">
        <v>17</v>
      </c>
      <c r="K20" s="294">
        <v>23</v>
      </c>
      <c r="L20" s="294">
        <v>11</v>
      </c>
      <c r="M20" s="294"/>
      <c r="AE20" s="589" t="s">
        <v>701</v>
      </c>
      <c r="AF20" s="591">
        <v>0.60657425019831201</v>
      </c>
      <c r="AG20" s="591">
        <v>0.49482911061700258</v>
      </c>
      <c r="AH20" s="591">
        <v>0.67292458890734752</v>
      </c>
      <c r="AI20" s="591">
        <v>1.4657359463487825</v>
      </c>
      <c r="AJ20" s="591">
        <v>1.0649211883174998</v>
      </c>
      <c r="AK20" s="591">
        <v>1.7551947770034342</v>
      </c>
      <c r="AL20" s="591">
        <v>2.5319421647440874E-3</v>
      </c>
      <c r="AM20" s="591" t="s">
        <v>703</v>
      </c>
      <c r="AN20" s="591">
        <v>3.8343160099468549E-3</v>
      </c>
    </row>
    <row r="31" spans="2:40" ht="15.75">
      <c r="B31" s="13" t="s">
        <v>328</v>
      </c>
      <c r="C31" s="14"/>
      <c r="D31" s="14"/>
      <c r="E31" s="14"/>
      <c r="P31" s="13" t="s">
        <v>328</v>
      </c>
    </row>
    <row r="32" spans="2:40" ht="28.5" customHeight="1">
      <c r="B32" s="296"/>
      <c r="C32" s="296" t="s">
        <v>24</v>
      </c>
      <c r="D32" s="296" t="s">
        <v>25</v>
      </c>
      <c r="E32" s="296" t="s">
        <v>10</v>
      </c>
    </row>
    <row r="33" spans="2:19">
      <c r="B33" s="296" t="s">
        <v>466</v>
      </c>
      <c r="C33" s="296">
        <v>1</v>
      </c>
      <c r="D33" s="296">
        <v>0</v>
      </c>
      <c r="E33" s="296">
        <f>SUM(C33:D33)</f>
        <v>1</v>
      </c>
      <c r="P33" s="296"/>
      <c r="Q33" s="296" t="s">
        <v>462</v>
      </c>
      <c r="R33" s="296" t="s">
        <v>463</v>
      </c>
      <c r="S33" s="296" t="s">
        <v>10</v>
      </c>
    </row>
    <row r="34" spans="2:19">
      <c r="B34" s="296" t="s">
        <v>464</v>
      </c>
      <c r="C34" s="296">
        <v>1</v>
      </c>
      <c r="D34" s="296">
        <v>0</v>
      </c>
      <c r="E34" s="296">
        <f t="shared" ref="E34:E38" si="4">SUM(C34:D34)</f>
        <v>1</v>
      </c>
      <c r="P34" s="296" t="s">
        <v>329</v>
      </c>
      <c r="Q34" s="296">
        <v>26</v>
      </c>
      <c r="R34" s="296">
        <v>301</v>
      </c>
      <c r="S34" s="296">
        <f t="shared" ref="S34:S40" si="5">SUM(Q34:R34)</f>
        <v>327</v>
      </c>
    </row>
    <row r="35" spans="2:19">
      <c r="B35" s="296" t="s">
        <v>465</v>
      </c>
      <c r="C35" s="296">
        <v>3</v>
      </c>
      <c r="D35" s="296">
        <v>4</v>
      </c>
      <c r="E35" s="296">
        <f t="shared" si="4"/>
        <v>7</v>
      </c>
      <c r="P35" s="296" t="s">
        <v>461</v>
      </c>
      <c r="Q35" s="296">
        <v>169</v>
      </c>
      <c r="R35" s="296"/>
      <c r="S35" s="296">
        <f t="shared" si="5"/>
        <v>169</v>
      </c>
    </row>
    <row r="36" spans="2:19">
      <c r="B36" s="296" t="s">
        <v>331</v>
      </c>
      <c r="C36" s="296">
        <v>8</v>
      </c>
      <c r="D36" s="296">
        <v>1</v>
      </c>
      <c r="E36" s="296">
        <f t="shared" si="4"/>
        <v>9</v>
      </c>
      <c r="P36" s="296" t="s">
        <v>330</v>
      </c>
      <c r="Q36" s="296">
        <v>299</v>
      </c>
      <c r="R36" s="296"/>
      <c r="S36" s="296">
        <f t="shared" si="5"/>
        <v>299</v>
      </c>
    </row>
    <row r="37" spans="2:19">
      <c r="B37" s="296" t="s">
        <v>332</v>
      </c>
      <c r="C37" s="296">
        <v>6</v>
      </c>
      <c r="D37" s="296">
        <v>1</v>
      </c>
      <c r="E37" s="296">
        <f t="shared" si="4"/>
        <v>7</v>
      </c>
      <c r="P37" s="296" t="s">
        <v>460</v>
      </c>
      <c r="Q37" s="296">
        <v>589</v>
      </c>
      <c r="R37" s="296">
        <v>547</v>
      </c>
      <c r="S37" s="296">
        <f t="shared" si="5"/>
        <v>1136</v>
      </c>
    </row>
    <row r="38" spans="2:19">
      <c r="B38" s="296" t="s">
        <v>460</v>
      </c>
      <c r="C38" s="296">
        <v>9</v>
      </c>
      <c r="D38" s="296">
        <v>5</v>
      </c>
      <c r="E38" s="296">
        <f t="shared" si="4"/>
        <v>14</v>
      </c>
      <c r="P38" s="296" t="s">
        <v>332</v>
      </c>
      <c r="Q38" s="296">
        <v>907</v>
      </c>
      <c r="R38" s="296">
        <v>363</v>
      </c>
      <c r="S38" s="296">
        <f t="shared" si="5"/>
        <v>1270</v>
      </c>
    </row>
    <row r="39" spans="2:19">
      <c r="B39" s="296" t="s">
        <v>333</v>
      </c>
      <c r="C39" s="296">
        <v>253</v>
      </c>
      <c r="D39" s="296">
        <v>115</v>
      </c>
      <c r="E39" s="296">
        <f>SUM(C39:D39)</f>
        <v>368</v>
      </c>
      <c r="P39" s="296" t="s">
        <v>331</v>
      </c>
      <c r="Q39" s="296">
        <v>1981</v>
      </c>
      <c r="R39" s="296"/>
      <c r="S39" s="296">
        <f t="shared" si="5"/>
        <v>1981</v>
      </c>
    </row>
    <row r="40" spans="2:19">
      <c r="B40" s="296" t="s">
        <v>10</v>
      </c>
      <c r="C40" s="296">
        <f>SUM(C33:C39)</f>
        <v>281</v>
      </c>
      <c r="D40" s="296">
        <f>SUM(D33:D39)</f>
        <v>126</v>
      </c>
      <c r="E40" s="297">
        <f>SUM(E33:E39)</f>
        <v>407</v>
      </c>
      <c r="P40" s="296" t="s">
        <v>333</v>
      </c>
      <c r="Q40" s="296">
        <v>7416</v>
      </c>
      <c r="R40" s="296">
        <v>3148</v>
      </c>
      <c r="S40" s="296">
        <f t="shared" si="5"/>
        <v>10564</v>
      </c>
    </row>
    <row r="41" spans="2:19">
      <c r="B41" s="14"/>
      <c r="C41" s="14"/>
      <c r="D41" s="14"/>
      <c r="E41" s="141"/>
      <c r="P41" s="296" t="s">
        <v>10</v>
      </c>
      <c r="Q41" s="296">
        <f>SUM(Q34:Q40)</f>
        <v>11387</v>
      </c>
      <c r="R41" s="296">
        <f>SUM(R34:R40)</f>
        <v>4359</v>
      </c>
      <c r="S41" s="297">
        <f>SUM(S34:S40)</f>
        <v>15746</v>
      </c>
    </row>
    <row r="42" spans="2:19">
      <c r="B42" s="14"/>
      <c r="C42" s="14"/>
      <c r="D42" s="14"/>
      <c r="E42" s="141"/>
    </row>
    <row r="43" spans="2:19">
      <c r="B43" s="14"/>
      <c r="C43" s="14"/>
      <c r="D43" s="14"/>
      <c r="E43" s="141"/>
    </row>
    <row r="44" spans="2:19">
      <c r="B44" s="14"/>
      <c r="C44" s="14"/>
      <c r="D44" s="14"/>
      <c r="E44" s="141"/>
    </row>
    <row r="45" spans="2:19" ht="15.75">
      <c r="B45" s="13" t="s">
        <v>334</v>
      </c>
      <c r="C45" s="14"/>
      <c r="D45" s="14"/>
      <c r="E45" s="14"/>
      <c r="P45" s="13" t="s">
        <v>334</v>
      </c>
      <c r="Q45" s="14"/>
      <c r="R45" s="14"/>
      <c r="S45" s="14"/>
    </row>
    <row r="46" spans="2:19">
      <c r="B46" s="14"/>
      <c r="C46" s="296" t="s">
        <v>5</v>
      </c>
      <c r="D46" s="296" t="s">
        <v>4</v>
      </c>
      <c r="E46" s="296" t="s">
        <v>10</v>
      </c>
      <c r="P46" s="14"/>
      <c r="Q46" s="296" t="s">
        <v>5</v>
      </c>
      <c r="R46" s="296" t="s">
        <v>4</v>
      </c>
      <c r="S46" s="296" t="s">
        <v>10</v>
      </c>
    </row>
    <row r="47" spans="2:19">
      <c r="B47" s="296" t="s">
        <v>485</v>
      </c>
      <c r="C47" s="296">
        <v>1</v>
      </c>
      <c r="D47" s="296">
        <v>0</v>
      </c>
      <c r="E47" s="296">
        <f>SUM(C47:D47)</f>
        <v>1</v>
      </c>
      <c r="P47" s="296" t="s">
        <v>461</v>
      </c>
      <c r="Q47" s="595">
        <v>169</v>
      </c>
      <c r="R47" s="595"/>
      <c r="S47" s="595">
        <f t="shared" ref="S47:S53" si="6">SUM(Q47:R47)</f>
        <v>169</v>
      </c>
    </row>
    <row r="48" spans="2:19">
      <c r="B48" s="296" t="s">
        <v>330</v>
      </c>
      <c r="C48" s="296">
        <v>1</v>
      </c>
      <c r="D48" s="296">
        <v>0</v>
      </c>
      <c r="E48" s="296">
        <f t="shared" ref="E48:E53" si="7">SUM(C48:D48)</f>
        <v>1</v>
      </c>
      <c r="P48" s="296" t="s">
        <v>330</v>
      </c>
      <c r="Q48" s="595">
        <v>299</v>
      </c>
      <c r="R48" s="595"/>
      <c r="S48" s="595">
        <f t="shared" si="6"/>
        <v>299</v>
      </c>
    </row>
    <row r="49" spans="2:19">
      <c r="B49" s="296" t="s">
        <v>486</v>
      </c>
      <c r="C49" s="296">
        <v>7</v>
      </c>
      <c r="D49" s="296">
        <v>0</v>
      </c>
      <c r="E49" s="296">
        <f t="shared" si="7"/>
        <v>7</v>
      </c>
      <c r="P49" s="296" t="s">
        <v>329</v>
      </c>
      <c r="Q49" s="595">
        <v>327</v>
      </c>
      <c r="R49" s="595"/>
      <c r="S49" s="595">
        <f>SUM(Q49:R49)</f>
        <v>327</v>
      </c>
    </row>
    <row r="50" spans="2:19">
      <c r="B50" s="296" t="s">
        <v>331</v>
      </c>
      <c r="C50" s="296">
        <v>8</v>
      </c>
      <c r="D50" s="296">
        <v>2</v>
      </c>
      <c r="E50" s="296">
        <f t="shared" si="7"/>
        <v>10</v>
      </c>
      <c r="P50" s="296" t="s">
        <v>460</v>
      </c>
      <c r="Q50" s="595">
        <v>1132</v>
      </c>
      <c r="R50" s="595">
        <v>4</v>
      </c>
      <c r="S50" s="595">
        <f t="shared" si="6"/>
        <v>1136</v>
      </c>
    </row>
    <row r="51" spans="2:19">
      <c r="B51" s="296" t="s">
        <v>332</v>
      </c>
      <c r="C51" s="296">
        <v>5</v>
      </c>
      <c r="D51" s="296">
        <v>2</v>
      </c>
      <c r="E51" s="296">
        <f t="shared" si="7"/>
        <v>7</v>
      </c>
      <c r="P51" s="296" t="s">
        <v>332</v>
      </c>
      <c r="Q51" s="595">
        <v>887</v>
      </c>
      <c r="R51" s="595">
        <v>383</v>
      </c>
      <c r="S51" s="595">
        <f t="shared" si="6"/>
        <v>1270</v>
      </c>
    </row>
    <row r="52" spans="2:19">
      <c r="B52" s="296" t="s">
        <v>487</v>
      </c>
      <c r="C52" s="296">
        <v>13</v>
      </c>
      <c r="D52" s="296">
        <v>1</v>
      </c>
      <c r="E52" s="296">
        <f t="shared" si="7"/>
        <v>14</v>
      </c>
      <c r="P52" s="296" t="s">
        <v>331</v>
      </c>
      <c r="Q52" s="595">
        <v>1981</v>
      </c>
      <c r="R52" s="595"/>
      <c r="S52" s="595">
        <f t="shared" si="6"/>
        <v>1981</v>
      </c>
    </row>
    <row r="53" spans="2:19">
      <c r="B53" s="296" t="s">
        <v>488</v>
      </c>
      <c r="C53" s="296">
        <v>257</v>
      </c>
      <c r="D53" s="296">
        <v>97</v>
      </c>
      <c r="E53" s="296">
        <f t="shared" si="7"/>
        <v>354</v>
      </c>
      <c r="P53" s="296" t="s">
        <v>333</v>
      </c>
      <c r="Q53" s="595">
        <v>7940</v>
      </c>
      <c r="R53" s="595">
        <v>2624</v>
      </c>
      <c r="S53" s="595">
        <f t="shared" si="6"/>
        <v>10564</v>
      </c>
    </row>
    <row r="54" spans="2:19">
      <c r="B54" s="296" t="s">
        <v>10</v>
      </c>
      <c r="C54" s="296">
        <f>SUM(C47:C53)</f>
        <v>292</v>
      </c>
      <c r="D54" s="296">
        <f>SUM(D47:D53)</f>
        <v>102</v>
      </c>
      <c r="E54" s="296">
        <f>SUM(E47:E53)</f>
        <v>394</v>
      </c>
      <c r="P54" s="296" t="s">
        <v>10</v>
      </c>
      <c r="Q54" s="595">
        <f>SUM(Q47:Q53)</f>
        <v>12735</v>
      </c>
      <c r="R54" s="595">
        <f>SUM(R47:R53)</f>
        <v>3011</v>
      </c>
      <c r="S54" s="596">
        <f>SUM(S47:S53)</f>
        <v>15746</v>
      </c>
    </row>
    <row r="55" spans="2:19" ht="12" customHeight="1">
      <c r="B55" s="14"/>
      <c r="C55" s="14"/>
      <c r="D55" s="14"/>
      <c r="E55" s="141"/>
    </row>
    <row r="56" spans="2:19">
      <c r="B56" s="14"/>
      <c r="C56" s="14"/>
      <c r="D56" s="14"/>
      <c r="E56" s="141"/>
    </row>
    <row r="57" spans="2:19">
      <c r="B57" s="14"/>
      <c r="C57" s="14"/>
      <c r="D57" s="14"/>
      <c r="E57" s="141"/>
    </row>
    <row r="58" spans="2:19">
      <c r="B58" s="14"/>
      <c r="C58" s="14"/>
      <c r="D58" s="14"/>
      <c r="E58" s="14"/>
    </row>
    <row r="59" spans="2:19" ht="15.75">
      <c r="B59" s="13" t="s">
        <v>335</v>
      </c>
      <c r="C59" s="14"/>
      <c r="D59" s="14"/>
      <c r="E59" s="14"/>
      <c r="P59" s="13" t="s">
        <v>335</v>
      </c>
      <c r="Q59" s="14"/>
      <c r="R59" s="14"/>
      <c r="S59" s="14"/>
    </row>
    <row r="60" spans="2:19">
      <c r="B60" s="296"/>
      <c r="C60" s="296" t="s">
        <v>67</v>
      </c>
      <c r="D60" s="296" t="s">
        <v>6</v>
      </c>
      <c r="E60" s="296" t="s">
        <v>10</v>
      </c>
      <c r="P60" s="14"/>
      <c r="Q60" s="296" t="s">
        <v>67</v>
      </c>
      <c r="R60" s="296" t="s">
        <v>6</v>
      </c>
      <c r="S60" s="296" t="s">
        <v>10</v>
      </c>
    </row>
    <row r="61" spans="2:19">
      <c r="B61" s="296" t="s">
        <v>466</v>
      </c>
      <c r="C61" s="296"/>
      <c r="D61" s="296">
        <v>1</v>
      </c>
      <c r="E61" s="296">
        <f>SUM(C61:D61)</f>
        <v>1</v>
      </c>
      <c r="P61" s="296" t="s">
        <v>461</v>
      </c>
      <c r="Q61" s="296"/>
      <c r="R61" s="296">
        <v>169</v>
      </c>
      <c r="S61" s="296">
        <f t="shared" ref="S61:S66" si="8">SUM(Q61:R61)</f>
        <v>169</v>
      </c>
    </row>
    <row r="62" spans="2:19">
      <c r="B62" s="296" t="s">
        <v>464</v>
      </c>
      <c r="C62" s="296">
        <v>1</v>
      </c>
      <c r="D62" s="296"/>
      <c r="E62" s="296">
        <f t="shared" ref="E62:E67" si="9">SUM(C62:D62)</f>
        <v>1</v>
      </c>
      <c r="P62" s="296" t="s">
        <v>330</v>
      </c>
      <c r="Q62" s="296">
        <v>299</v>
      </c>
      <c r="R62" s="296"/>
      <c r="S62" s="296">
        <f t="shared" si="8"/>
        <v>299</v>
      </c>
    </row>
    <row r="63" spans="2:19">
      <c r="B63" s="296" t="s">
        <v>465</v>
      </c>
      <c r="C63" s="296">
        <v>7</v>
      </c>
      <c r="D63" s="296"/>
      <c r="E63" s="296">
        <f t="shared" si="9"/>
        <v>7</v>
      </c>
      <c r="P63" s="296" t="s">
        <v>329</v>
      </c>
      <c r="Q63" s="296">
        <v>327</v>
      </c>
      <c r="R63" s="296"/>
      <c r="S63" s="296">
        <f>SUM(Q63:R63)</f>
        <v>327</v>
      </c>
    </row>
    <row r="64" spans="2:19">
      <c r="B64" s="296" t="s">
        <v>331</v>
      </c>
      <c r="C64" s="296"/>
      <c r="D64" s="296">
        <v>6</v>
      </c>
      <c r="E64" s="296">
        <f t="shared" si="9"/>
        <v>6</v>
      </c>
      <c r="P64" s="296" t="s">
        <v>460</v>
      </c>
      <c r="Q64" s="296"/>
      <c r="R64" s="296">
        <v>1136</v>
      </c>
      <c r="S64" s="296">
        <f t="shared" si="8"/>
        <v>1136</v>
      </c>
    </row>
    <row r="65" spans="2:21">
      <c r="B65" s="296" t="s">
        <v>332</v>
      </c>
      <c r="C65" s="296"/>
      <c r="D65" s="296">
        <v>7</v>
      </c>
      <c r="E65" s="296">
        <f t="shared" si="9"/>
        <v>7</v>
      </c>
      <c r="P65" s="296" t="s">
        <v>332</v>
      </c>
      <c r="Q65" s="296"/>
      <c r="R65" s="294">
        <v>1270</v>
      </c>
      <c r="S65" s="296">
        <f t="shared" si="8"/>
        <v>1270</v>
      </c>
    </row>
    <row r="66" spans="2:21">
      <c r="B66" s="296" t="s">
        <v>460</v>
      </c>
      <c r="C66" s="296"/>
      <c r="D66" s="296">
        <v>14</v>
      </c>
      <c r="E66" s="296">
        <f t="shared" si="9"/>
        <v>14</v>
      </c>
      <c r="P66" s="296" t="s">
        <v>331</v>
      </c>
      <c r="Q66" s="296"/>
      <c r="R66" s="298">
        <v>1981</v>
      </c>
      <c r="S66" s="296">
        <f t="shared" si="8"/>
        <v>1981</v>
      </c>
    </row>
    <row r="67" spans="2:21">
      <c r="B67" s="296" t="s">
        <v>333</v>
      </c>
      <c r="C67" s="294">
        <v>137</v>
      </c>
      <c r="D67" s="294">
        <v>230</v>
      </c>
      <c r="E67" s="296">
        <f t="shared" si="9"/>
        <v>367</v>
      </c>
      <c r="P67" s="296" t="s">
        <v>333</v>
      </c>
      <c r="Q67" s="296">
        <v>4143</v>
      </c>
      <c r="R67" s="296">
        <v>6421</v>
      </c>
      <c r="S67" s="296">
        <f>SUM(Q67:R67)</f>
        <v>10564</v>
      </c>
    </row>
    <row r="68" spans="2:21">
      <c r="B68" s="296" t="s">
        <v>10</v>
      </c>
      <c r="C68" s="296">
        <f>SUM(C61:C67)</f>
        <v>145</v>
      </c>
      <c r="D68" s="296">
        <f>SUM(D61:D67)</f>
        <v>258</v>
      </c>
      <c r="E68" s="297">
        <f>SUM(E61:E67)</f>
        <v>403</v>
      </c>
      <c r="P68" s="296" t="s">
        <v>10</v>
      </c>
      <c r="Q68" s="296">
        <f>SUM(Q61:Q67)</f>
        <v>4769</v>
      </c>
      <c r="R68" s="296">
        <f>SUM(R61:R67)</f>
        <v>10977</v>
      </c>
      <c r="S68" s="297">
        <f>SUM(S61:S67)</f>
        <v>15746</v>
      </c>
    </row>
    <row r="70" spans="2:21">
      <c r="B70" s="14"/>
      <c r="C70" s="14"/>
      <c r="D70" s="14"/>
      <c r="E70" s="141"/>
    </row>
    <row r="71" spans="2:21">
      <c r="B71" s="14"/>
      <c r="C71" s="14"/>
      <c r="D71" s="14"/>
      <c r="E71" s="141"/>
    </row>
    <row r="72" spans="2:21">
      <c r="B72" s="14"/>
      <c r="C72" s="14"/>
      <c r="D72" s="14"/>
      <c r="E72" s="141"/>
    </row>
    <row r="73" spans="2:21" ht="6.75" customHeight="1"/>
    <row r="74" spans="2:21" ht="15.75">
      <c r="B74" s="13" t="s">
        <v>336</v>
      </c>
      <c r="P74" s="13" t="s">
        <v>336</v>
      </c>
    </row>
    <row r="75" spans="2:21" ht="6.75" customHeight="1"/>
    <row r="76" spans="2:21">
      <c r="B76" s="14"/>
      <c r="C76" s="543" t="s">
        <v>677</v>
      </c>
      <c r="D76" s="542" t="s">
        <v>62</v>
      </c>
      <c r="E76" s="542" t="s">
        <v>63</v>
      </c>
      <c r="F76" s="542" t="s">
        <v>64</v>
      </c>
      <c r="G76" s="541" t="s">
        <v>10</v>
      </c>
      <c r="P76" s="14"/>
      <c r="Q76" s="543" t="s">
        <v>677</v>
      </c>
      <c r="R76" s="542" t="s">
        <v>62</v>
      </c>
      <c r="S76" s="542" t="s">
        <v>63</v>
      </c>
      <c r="T76" s="542" t="s">
        <v>64</v>
      </c>
      <c r="U76" s="541" t="s">
        <v>10</v>
      </c>
    </row>
    <row r="77" spans="2:21">
      <c r="B77" s="543" t="s">
        <v>466</v>
      </c>
      <c r="C77" s="126" t="s">
        <v>163</v>
      </c>
      <c r="D77" s="126"/>
      <c r="E77" s="126">
        <v>1</v>
      </c>
      <c r="F77" s="126"/>
      <c r="G77" s="540">
        <f>SUM(D79:F79)</f>
        <v>1</v>
      </c>
      <c r="P77" s="543" t="s">
        <v>466</v>
      </c>
      <c r="Q77" s="14" t="s">
        <v>163</v>
      </c>
      <c r="R77" s="126"/>
      <c r="S77" s="126">
        <v>169</v>
      </c>
      <c r="T77" s="126"/>
      <c r="U77" s="540">
        <f>SUM(R78:T78)</f>
        <v>169</v>
      </c>
    </row>
    <row r="78" spans="2:21">
      <c r="B78" s="538" t="s">
        <v>489</v>
      </c>
      <c r="C78" s="540"/>
      <c r="D78" s="540">
        <f>D77</f>
        <v>0</v>
      </c>
      <c r="E78" s="540">
        <f t="shared" ref="E78:G78" si="10">E77</f>
        <v>1</v>
      </c>
      <c r="F78" s="540">
        <f t="shared" si="10"/>
        <v>0</v>
      </c>
      <c r="G78" s="540">
        <f t="shared" si="10"/>
        <v>1</v>
      </c>
      <c r="P78" s="538" t="s">
        <v>489</v>
      </c>
      <c r="Q78" s="539"/>
      <c r="R78" s="540">
        <f>R77</f>
        <v>0</v>
      </c>
      <c r="S78" s="540">
        <f t="shared" ref="S78" si="11">S77</f>
        <v>169</v>
      </c>
      <c r="T78" s="540">
        <f t="shared" ref="T78" si="12">T77</f>
        <v>0</v>
      </c>
      <c r="U78" s="540">
        <f>U77</f>
        <v>169</v>
      </c>
    </row>
    <row r="79" spans="2:21">
      <c r="B79" s="543" t="s">
        <v>464</v>
      </c>
      <c r="C79" s="126" t="s">
        <v>340</v>
      </c>
      <c r="D79" s="126"/>
      <c r="E79" s="126"/>
      <c r="F79" s="126">
        <v>1</v>
      </c>
      <c r="G79" s="540">
        <f>SUM(D79:F79)</f>
        <v>1</v>
      </c>
      <c r="P79" s="543" t="s">
        <v>464</v>
      </c>
      <c r="Q79" s="14" t="s">
        <v>340</v>
      </c>
      <c r="R79" s="126"/>
      <c r="S79" s="126"/>
      <c r="T79" s="126">
        <v>299</v>
      </c>
      <c r="U79" s="540">
        <f>SUM(R80:T80)</f>
        <v>299</v>
      </c>
    </row>
    <row r="80" spans="2:21">
      <c r="B80" s="538" t="s">
        <v>490</v>
      </c>
      <c r="C80" s="540"/>
      <c r="D80" s="540">
        <f>D79</f>
        <v>0</v>
      </c>
      <c r="E80" s="540">
        <f t="shared" ref="E80" si="13">E79</f>
        <v>0</v>
      </c>
      <c r="F80" s="540">
        <f t="shared" ref="F80" si="14">F79</f>
        <v>1</v>
      </c>
      <c r="G80" s="540">
        <f t="shared" ref="G80" si="15">G79</f>
        <v>1</v>
      </c>
      <c r="P80" s="538" t="s">
        <v>490</v>
      </c>
      <c r="Q80" s="539"/>
      <c r="R80" s="540">
        <f>R79</f>
        <v>0</v>
      </c>
      <c r="S80" s="540">
        <f t="shared" ref="S80" si="16">S79</f>
        <v>0</v>
      </c>
      <c r="T80" s="540">
        <f t="shared" ref="T80" si="17">T79</f>
        <v>299</v>
      </c>
      <c r="U80" s="540">
        <f t="shared" ref="U80" si="18">U79</f>
        <v>299</v>
      </c>
    </row>
    <row r="81" spans="2:21">
      <c r="B81" s="543" t="s">
        <v>482</v>
      </c>
      <c r="C81" s="126" t="s">
        <v>160</v>
      </c>
      <c r="D81" s="126">
        <v>1</v>
      </c>
      <c r="E81" s="126">
        <v>1</v>
      </c>
      <c r="F81" s="126"/>
      <c r="G81" s="540">
        <f>SUM(D81:F81)</f>
        <v>2</v>
      </c>
      <c r="P81" s="543" t="s">
        <v>482</v>
      </c>
      <c r="Q81" s="14" t="s">
        <v>160</v>
      </c>
      <c r="R81" s="126">
        <v>10</v>
      </c>
      <c r="S81" s="126">
        <v>9</v>
      </c>
      <c r="T81" s="126"/>
      <c r="U81" s="540">
        <f>SUM(R81:T81)</f>
        <v>19</v>
      </c>
    </row>
    <row r="82" spans="2:21">
      <c r="B82" s="543"/>
      <c r="C82" s="126" t="s">
        <v>163</v>
      </c>
      <c r="D82" s="126">
        <v>1</v>
      </c>
      <c r="E82" s="126">
        <v>2</v>
      </c>
      <c r="F82" s="126"/>
      <c r="G82" s="540">
        <f t="shared" ref="G82:G93" si="19">SUM(D82:F82)</f>
        <v>3</v>
      </c>
      <c r="P82" s="543"/>
      <c r="Q82" s="14" t="s">
        <v>163</v>
      </c>
      <c r="R82" s="126">
        <v>243</v>
      </c>
      <c r="S82" s="126">
        <v>5</v>
      </c>
      <c r="T82" s="126"/>
      <c r="U82" s="540">
        <f t="shared" ref="U82:U83" si="20">SUM(R82:T82)</f>
        <v>248</v>
      </c>
    </row>
    <row r="83" spans="2:21">
      <c r="B83" s="543"/>
      <c r="C83" s="126" t="s">
        <v>164</v>
      </c>
      <c r="D83" s="126">
        <v>1</v>
      </c>
      <c r="E83" s="126"/>
      <c r="F83" s="126">
        <v>1</v>
      </c>
      <c r="G83" s="540">
        <f t="shared" si="19"/>
        <v>2</v>
      </c>
      <c r="P83" s="543"/>
      <c r="Q83" s="14" t="s">
        <v>164</v>
      </c>
      <c r="R83" s="126">
        <v>13</v>
      </c>
      <c r="S83" s="126"/>
      <c r="T83" s="126">
        <v>47</v>
      </c>
      <c r="U83" s="540">
        <f t="shared" si="20"/>
        <v>60</v>
      </c>
    </row>
    <row r="84" spans="2:21">
      <c r="B84" s="538" t="s">
        <v>491</v>
      </c>
      <c r="C84" s="540"/>
      <c r="D84" s="540">
        <f>SUM(D81:D83)</f>
        <v>3</v>
      </c>
      <c r="E84" s="540">
        <f t="shared" ref="E84:G84" si="21">SUM(E81:E83)</f>
        <v>3</v>
      </c>
      <c r="F84" s="540">
        <f t="shared" si="21"/>
        <v>1</v>
      </c>
      <c r="G84" s="540">
        <f t="shared" si="21"/>
        <v>7</v>
      </c>
      <c r="P84" s="538" t="s">
        <v>491</v>
      </c>
      <c r="Q84" s="539"/>
      <c r="R84" s="540">
        <f>SUM(R81:R83)</f>
        <v>266</v>
      </c>
      <c r="S84" s="540">
        <f t="shared" ref="S84" si="22">SUM(S81:S83)</f>
        <v>14</v>
      </c>
      <c r="T84" s="540">
        <f t="shared" ref="T84" si="23">SUM(T81:T83)</f>
        <v>47</v>
      </c>
      <c r="U84" s="540">
        <f t="shared" ref="U84" si="24">SUM(U81:U83)</f>
        <v>327</v>
      </c>
    </row>
    <row r="85" spans="2:21">
      <c r="B85" s="543" t="s">
        <v>18</v>
      </c>
      <c r="C85" s="126" t="s">
        <v>162</v>
      </c>
      <c r="D85" s="126"/>
      <c r="E85" s="126"/>
      <c r="F85" s="126">
        <v>1</v>
      </c>
      <c r="G85" s="540">
        <f t="shared" si="19"/>
        <v>1</v>
      </c>
      <c r="P85" s="543" t="s">
        <v>18</v>
      </c>
      <c r="Q85" s="14" t="s">
        <v>162</v>
      </c>
      <c r="R85" s="126"/>
      <c r="S85" s="126"/>
      <c r="T85" s="126">
        <v>241</v>
      </c>
      <c r="U85" s="540">
        <f>SUM(R85:T85)</f>
        <v>241</v>
      </c>
    </row>
    <row r="86" spans="2:21">
      <c r="B86" s="543"/>
      <c r="C86" s="126" t="s">
        <v>164</v>
      </c>
      <c r="D86" s="126">
        <v>1</v>
      </c>
      <c r="E86" s="126">
        <v>1</v>
      </c>
      <c r="F86" s="126">
        <v>1</v>
      </c>
      <c r="G86" s="540">
        <f t="shared" si="19"/>
        <v>3</v>
      </c>
      <c r="P86" s="543"/>
      <c r="Q86" s="14" t="s">
        <v>164</v>
      </c>
      <c r="R86" s="126">
        <f>257+108</f>
        <v>365</v>
      </c>
      <c r="S86" s="126"/>
      <c r="T86" s="126">
        <v>325</v>
      </c>
      <c r="U86" s="540">
        <f>SUM(R86:T86)</f>
        <v>690</v>
      </c>
    </row>
    <row r="87" spans="2:21">
      <c r="B87" s="543"/>
      <c r="C87" s="126" t="s">
        <v>165</v>
      </c>
      <c r="D87" s="126"/>
      <c r="E87" s="126"/>
      <c r="F87" s="126">
        <v>1</v>
      </c>
      <c r="G87" s="540">
        <f t="shared" si="19"/>
        <v>1</v>
      </c>
      <c r="P87" s="543"/>
      <c r="Q87" s="14" t="s">
        <v>165</v>
      </c>
      <c r="R87" s="126"/>
      <c r="S87" s="126"/>
      <c r="T87" s="126">
        <v>685</v>
      </c>
      <c r="U87" s="540">
        <f>SUM(R87:T87)</f>
        <v>685</v>
      </c>
    </row>
    <row r="88" spans="2:21">
      <c r="B88" s="543"/>
      <c r="C88" s="126" t="s">
        <v>340</v>
      </c>
      <c r="D88" s="126"/>
      <c r="E88" s="126">
        <v>1</v>
      </c>
      <c r="F88" s="126"/>
      <c r="G88" s="540">
        <f t="shared" si="19"/>
        <v>1</v>
      </c>
      <c r="P88" s="543"/>
      <c r="Q88" s="14" t="s">
        <v>340</v>
      </c>
      <c r="R88" s="126"/>
      <c r="S88" s="126">
        <f>344+21</f>
        <v>365</v>
      </c>
      <c r="T88" s="126"/>
      <c r="U88" s="540">
        <f>SUM(R88:T88)</f>
        <v>365</v>
      </c>
    </row>
    <row r="89" spans="2:21">
      <c r="B89" s="538" t="s">
        <v>492</v>
      </c>
      <c r="C89" s="540"/>
      <c r="D89" s="540">
        <f t="shared" ref="D89:E89" si="25">SUM(D85:D88)</f>
        <v>1</v>
      </c>
      <c r="E89" s="540">
        <f t="shared" si="25"/>
        <v>2</v>
      </c>
      <c r="F89" s="540">
        <f>SUM(F85:F88)</f>
        <v>3</v>
      </c>
      <c r="G89" s="540">
        <f>SUM(G85:G88)</f>
        <v>6</v>
      </c>
      <c r="P89" s="538" t="s">
        <v>492</v>
      </c>
      <c r="Q89" s="539"/>
      <c r="R89" s="540">
        <f>SUM(R85:R88)</f>
        <v>365</v>
      </c>
      <c r="S89" s="540">
        <f t="shared" ref="S89:T89" si="26">SUM(S85:S88)</f>
        <v>365</v>
      </c>
      <c r="T89" s="540">
        <f t="shared" si="26"/>
        <v>1251</v>
      </c>
      <c r="U89" s="540">
        <f>SUM(U85:U88)</f>
        <v>1981</v>
      </c>
    </row>
    <row r="90" spans="2:21">
      <c r="B90" s="543" t="s">
        <v>483</v>
      </c>
      <c r="C90" s="126" t="s">
        <v>162</v>
      </c>
      <c r="D90" s="126"/>
      <c r="E90" s="126"/>
      <c r="F90" s="126">
        <v>1</v>
      </c>
      <c r="G90" s="540">
        <f t="shared" si="19"/>
        <v>1</v>
      </c>
      <c r="P90" s="543" t="s">
        <v>483</v>
      </c>
      <c r="Q90" s="14" t="s">
        <v>162</v>
      </c>
      <c r="R90" s="126"/>
      <c r="S90" s="126"/>
      <c r="T90" s="126">
        <f>181+10</f>
        <v>191</v>
      </c>
      <c r="U90" s="540">
        <f>SUM(R90:T90)</f>
        <v>191</v>
      </c>
    </row>
    <row r="91" spans="2:21">
      <c r="B91" s="543"/>
      <c r="C91" s="126" t="s">
        <v>164</v>
      </c>
      <c r="D91" s="126">
        <v>1</v>
      </c>
      <c r="E91" s="126"/>
      <c r="F91" s="126"/>
      <c r="G91" s="540">
        <f t="shared" si="19"/>
        <v>1</v>
      </c>
      <c r="P91" s="543"/>
      <c r="Q91" s="14" t="s">
        <v>164</v>
      </c>
      <c r="R91" s="126">
        <v>107</v>
      </c>
      <c r="S91" s="126"/>
      <c r="T91" s="126"/>
      <c r="U91" s="540">
        <f t="shared" ref="U91:U109" si="27">SUM(R91:T91)</f>
        <v>107</v>
      </c>
    </row>
    <row r="92" spans="2:21">
      <c r="B92" s="543"/>
      <c r="C92" s="126" t="s">
        <v>165</v>
      </c>
      <c r="D92" s="126"/>
      <c r="E92" s="126">
        <v>1</v>
      </c>
      <c r="F92" s="126">
        <v>1</v>
      </c>
      <c r="G92" s="540">
        <f t="shared" si="19"/>
        <v>2</v>
      </c>
      <c r="P92" s="543"/>
      <c r="Q92" s="14" t="s">
        <v>165</v>
      </c>
      <c r="R92" s="126"/>
      <c r="S92" s="126">
        <v>56</v>
      </c>
      <c r="T92" s="126">
        <f>33+184</f>
        <v>217</v>
      </c>
      <c r="U92" s="540">
        <f t="shared" si="27"/>
        <v>273</v>
      </c>
    </row>
    <row r="93" spans="2:21">
      <c r="B93" s="543"/>
      <c r="C93" s="126" t="s">
        <v>340</v>
      </c>
      <c r="D93" s="126">
        <v>1</v>
      </c>
      <c r="E93" s="472"/>
      <c r="F93" s="126">
        <v>2</v>
      </c>
      <c r="G93" s="540">
        <f t="shared" si="19"/>
        <v>3</v>
      </c>
      <c r="P93" s="543"/>
      <c r="Q93" s="14" t="s">
        <v>340</v>
      </c>
      <c r="R93" s="126">
        <v>276</v>
      </c>
      <c r="S93" s="472"/>
      <c r="T93" s="126">
        <f>182+241</f>
        <v>423</v>
      </c>
      <c r="U93" s="540">
        <f t="shared" si="27"/>
        <v>699</v>
      </c>
    </row>
    <row r="94" spans="2:21">
      <c r="B94" s="538" t="s">
        <v>495</v>
      </c>
      <c r="C94" s="540"/>
      <c r="D94" s="540">
        <f>SUM(D90:D93)</f>
        <v>2</v>
      </c>
      <c r="E94" s="540">
        <f t="shared" ref="E94:G94" si="28">SUM(E90:E93)</f>
        <v>1</v>
      </c>
      <c r="F94" s="540">
        <f>SUM(F90:F93)</f>
        <v>4</v>
      </c>
      <c r="G94" s="540">
        <f t="shared" si="28"/>
        <v>7</v>
      </c>
      <c r="P94" s="538" t="s">
        <v>495</v>
      </c>
      <c r="Q94" s="539"/>
      <c r="R94" s="540">
        <f>SUM(R90:R93)</f>
        <v>383</v>
      </c>
      <c r="S94" s="540">
        <f t="shared" ref="S94" si="29">SUM(S90:S93)</f>
        <v>56</v>
      </c>
      <c r="T94" s="540">
        <f t="shared" ref="T94" si="30">SUM(T90:T93)</f>
        <v>831</v>
      </c>
      <c r="U94" s="540">
        <f t="shared" ref="U94" si="31">SUM(U90:U93)</f>
        <v>1270</v>
      </c>
    </row>
    <row r="95" spans="2:21">
      <c r="B95" s="543" t="s">
        <v>460</v>
      </c>
      <c r="C95" s="126" t="s">
        <v>162</v>
      </c>
      <c r="D95" s="126">
        <v>1</v>
      </c>
      <c r="E95" s="126">
        <v>1</v>
      </c>
      <c r="F95" s="126"/>
      <c r="G95" s="540">
        <f>SUM(D95:F95)</f>
        <v>2</v>
      </c>
      <c r="P95" s="543" t="s">
        <v>460</v>
      </c>
      <c r="Q95" s="14" t="s">
        <v>162</v>
      </c>
      <c r="R95" s="126">
        <v>26</v>
      </c>
      <c r="S95" s="126">
        <v>30</v>
      </c>
      <c r="T95" s="126"/>
      <c r="U95" s="540">
        <f t="shared" si="27"/>
        <v>56</v>
      </c>
    </row>
    <row r="96" spans="2:21">
      <c r="B96" s="543"/>
      <c r="C96" s="126" t="s">
        <v>163</v>
      </c>
      <c r="D96" s="126"/>
      <c r="E96" s="126"/>
      <c r="F96" s="126">
        <v>1</v>
      </c>
      <c r="G96" s="540">
        <f t="shared" ref="G96:G99" si="32">SUM(D96:F96)</f>
        <v>1</v>
      </c>
      <c r="P96" s="543"/>
      <c r="Q96" s="14" t="s">
        <v>163</v>
      </c>
      <c r="R96" s="126"/>
      <c r="S96" s="126"/>
      <c r="T96" s="126">
        <v>21</v>
      </c>
      <c r="U96" s="540">
        <f t="shared" si="27"/>
        <v>21</v>
      </c>
    </row>
    <row r="97" spans="2:21">
      <c r="B97" s="543"/>
      <c r="C97" s="126" t="s">
        <v>164</v>
      </c>
      <c r="D97" s="126"/>
      <c r="E97" s="126">
        <v>1</v>
      </c>
      <c r="F97" s="126">
        <v>2</v>
      </c>
      <c r="G97" s="540">
        <f t="shared" si="32"/>
        <v>3</v>
      </c>
      <c r="P97" s="543"/>
      <c r="Q97" s="14" t="s">
        <v>164</v>
      </c>
      <c r="R97" s="126"/>
      <c r="S97" s="126">
        <v>13</v>
      </c>
      <c r="T97" s="126">
        <v>52</v>
      </c>
      <c r="U97" s="540">
        <f t="shared" si="27"/>
        <v>65</v>
      </c>
    </row>
    <row r="98" spans="2:21">
      <c r="B98" s="543"/>
      <c r="C98" s="126" t="s">
        <v>165</v>
      </c>
      <c r="D98" s="126">
        <v>2</v>
      </c>
      <c r="E98" s="126">
        <v>1</v>
      </c>
      <c r="F98" s="126">
        <v>4</v>
      </c>
      <c r="G98" s="540">
        <f t="shared" si="32"/>
        <v>7</v>
      </c>
      <c r="P98" s="543"/>
      <c r="Q98" s="14" t="s">
        <v>165</v>
      </c>
      <c r="R98" s="126">
        <v>145</v>
      </c>
      <c r="S98" s="126">
        <v>19</v>
      </c>
      <c r="T98" s="126">
        <v>726</v>
      </c>
      <c r="U98" s="540">
        <f t="shared" si="27"/>
        <v>890</v>
      </c>
    </row>
    <row r="99" spans="2:21">
      <c r="B99" s="543"/>
      <c r="C99" s="126" t="s">
        <v>340</v>
      </c>
      <c r="D99" s="126"/>
      <c r="E99" s="126">
        <v>1</v>
      </c>
      <c r="F99" s="126"/>
      <c r="G99" s="540">
        <f t="shared" si="32"/>
        <v>1</v>
      </c>
      <c r="P99" s="543"/>
      <c r="Q99" s="14" t="s">
        <v>340</v>
      </c>
      <c r="R99" s="126"/>
      <c r="S99" s="126">
        <v>104</v>
      </c>
      <c r="T99" s="126"/>
      <c r="U99" s="540">
        <f t="shared" si="27"/>
        <v>104</v>
      </c>
    </row>
    <row r="100" spans="2:21">
      <c r="B100" s="538" t="s">
        <v>494</v>
      </c>
      <c r="C100" s="540"/>
      <c r="D100" s="540">
        <f t="shared" ref="D100:F100" si="33">SUM(D95:D99)</f>
        <v>3</v>
      </c>
      <c r="E100" s="540">
        <f t="shared" si="33"/>
        <v>4</v>
      </c>
      <c r="F100" s="540">
        <f t="shared" si="33"/>
        <v>7</v>
      </c>
      <c r="G100" s="540">
        <f>SUM(G95:G99)</f>
        <v>14</v>
      </c>
      <c r="P100" s="538" t="s">
        <v>494</v>
      </c>
      <c r="Q100" s="539"/>
      <c r="R100" s="540">
        <f>SUM(R95:R99)</f>
        <v>171</v>
      </c>
      <c r="S100" s="540">
        <f t="shared" ref="S100:T100" si="34">SUM(S95:S99)</f>
        <v>166</v>
      </c>
      <c r="T100" s="540">
        <f t="shared" si="34"/>
        <v>799</v>
      </c>
      <c r="U100" s="540">
        <f>SUM(U95:U99)</f>
        <v>1136</v>
      </c>
    </row>
    <row r="101" spans="2:21">
      <c r="B101" s="543" t="s">
        <v>484</v>
      </c>
      <c r="C101" s="126" t="s">
        <v>158</v>
      </c>
      <c r="D101" s="126">
        <v>5</v>
      </c>
      <c r="E101" s="126">
        <v>2</v>
      </c>
      <c r="F101" s="126">
        <v>12</v>
      </c>
      <c r="G101" s="540">
        <f>SUM(D101:F101)</f>
        <v>19</v>
      </c>
      <c r="P101" s="543" t="s">
        <v>484</v>
      </c>
      <c r="Q101" s="14" t="s">
        <v>158</v>
      </c>
      <c r="R101" s="126">
        <v>49</v>
      </c>
      <c r="S101" s="126">
        <v>65</v>
      </c>
      <c r="T101" s="126">
        <v>311</v>
      </c>
      <c r="U101" s="540">
        <f t="shared" si="27"/>
        <v>425</v>
      </c>
    </row>
    <row r="102" spans="2:21">
      <c r="B102" s="543"/>
      <c r="C102" s="126" t="s">
        <v>159</v>
      </c>
      <c r="D102" s="126">
        <v>11</v>
      </c>
      <c r="E102" s="126">
        <v>5</v>
      </c>
      <c r="F102" s="126">
        <v>6</v>
      </c>
      <c r="G102" s="540">
        <f t="shared" ref="G102:G109" si="35">SUM(D102:F102)</f>
        <v>22</v>
      </c>
      <c r="P102" s="543"/>
      <c r="Q102" s="14" t="s">
        <v>159</v>
      </c>
      <c r="R102" s="126">
        <v>297</v>
      </c>
      <c r="S102" s="126">
        <v>233</v>
      </c>
      <c r="T102" s="126">
        <v>269</v>
      </c>
      <c r="U102" s="540">
        <f t="shared" si="27"/>
        <v>799</v>
      </c>
    </row>
    <row r="103" spans="2:21">
      <c r="B103" s="543"/>
      <c r="C103" s="126" t="s">
        <v>160</v>
      </c>
      <c r="D103" s="126">
        <v>15</v>
      </c>
      <c r="E103" s="126">
        <v>8</v>
      </c>
      <c r="F103" s="126">
        <v>11</v>
      </c>
      <c r="G103" s="540">
        <f t="shared" si="35"/>
        <v>34</v>
      </c>
      <c r="P103" s="543"/>
      <c r="Q103" s="14" t="s">
        <v>160</v>
      </c>
      <c r="R103" s="126">
        <v>466</v>
      </c>
      <c r="S103" s="126">
        <v>150</v>
      </c>
      <c r="T103" s="126">
        <v>505</v>
      </c>
      <c r="U103" s="540">
        <f t="shared" si="27"/>
        <v>1121</v>
      </c>
    </row>
    <row r="104" spans="2:21">
      <c r="B104" s="543"/>
      <c r="C104" s="126" t="s">
        <v>161</v>
      </c>
      <c r="D104" s="126">
        <v>20</v>
      </c>
      <c r="E104" s="126">
        <v>10</v>
      </c>
      <c r="F104" s="126">
        <v>11</v>
      </c>
      <c r="G104" s="540">
        <f t="shared" si="35"/>
        <v>41</v>
      </c>
      <c r="P104" s="543"/>
      <c r="Q104" s="14" t="s">
        <v>161</v>
      </c>
      <c r="R104" s="126">
        <v>349</v>
      </c>
      <c r="S104" s="126">
        <v>251</v>
      </c>
      <c r="T104" s="126">
        <v>301</v>
      </c>
      <c r="U104" s="540">
        <f t="shared" si="27"/>
        <v>901</v>
      </c>
    </row>
    <row r="105" spans="2:21">
      <c r="B105" s="543"/>
      <c r="C105" s="126" t="s">
        <v>162</v>
      </c>
      <c r="D105" s="126">
        <v>26</v>
      </c>
      <c r="E105" s="126">
        <v>14</v>
      </c>
      <c r="F105" s="126">
        <v>11</v>
      </c>
      <c r="G105" s="540">
        <f t="shared" si="35"/>
        <v>51</v>
      </c>
      <c r="P105" s="543"/>
      <c r="Q105" s="14" t="s">
        <v>162</v>
      </c>
      <c r="R105" s="126">
        <v>789</v>
      </c>
      <c r="S105" s="126">
        <v>604</v>
      </c>
      <c r="T105" s="126">
        <v>286</v>
      </c>
      <c r="U105" s="540">
        <f t="shared" si="27"/>
        <v>1679</v>
      </c>
    </row>
    <row r="106" spans="2:21">
      <c r="B106" s="543"/>
      <c r="C106" s="126" t="s">
        <v>163</v>
      </c>
      <c r="D106" s="126">
        <v>26</v>
      </c>
      <c r="E106" s="126">
        <v>8</v>
      </c>
      <c r="F106" s="126">
        <v>16</v>
      </c>
      <c r="G106" s="540">
        <f t="shared" si="35"/>
        <v>50</v>
      </c>
      <c r="P106" s="543"/>
      <c r="Q106" s="14" t="s">
        <v>163</v>
      </c>
      <c r="R106" s="126">
        <v>881</v>
      </c>
      <c r="S106" s="126">
        <v>242</v>
      </c>
      <c r="T106" s="126">
        <v>492</v>
      </c>
      <c r="U106" s="540">
        <f t="shared" si="27"/>
        <v>1615</v>
      </c>
    </row>
    <row r="107" spans="2:21">
      <c r="B107" s="543"/>
      <c r="C107" s="126" t="s">
        <v>164</v>
      </c>
      <c r="D107" s="126">
        <v>21</v>
      </c>
      <c r="E107" s="126">
        <v>16</v>
      </c>
      <c r="F107" s="126">
        <v>20</v>
      </c>
      <c r="G107" s="540">
        <f t="shared" si="35"/>
        <v>57</v>
      </c>
      <c r="P107" s="543"/>
      <c r="Q107" s="14" t="s">
        <v>164</v>
      </c>
      <c r="R107" s="126">
        <v>383</v>
      </c>
      <c r="S107" s="126">
        <v>575</v>
      </c>
      <c r="T107" s="126">
        <v>544</v>
      </c>
      <c r="U107" s="540">
        <f t="shared" si="27"/>
        <v>1502</v>
      </c>
    </row>
    <row r="108" spans="2:21">
      <c r="B108" s="543"/>
      <c r="C108" s="126" t="s">
        <v>165</v>
      </c>
      <c r="D108" s="126">
        <v>24</v>
      </c>
      <c r="E108" s="126">
        <v>13</v>
      </c>
      <c r="F108" s="126">
        <v>19</v>
      </c>
      <c r="G108" s="540">
        <f t="shared" si="35"/>
        <v>56</v>
      </c>
      <c r="P108" s="543"/>
      <c r="Q108" s="14" t="s">
        <v>165</v>
      </c>
      <c r="R108" s="126">
        <v>725</v>
      </c>
      <c r="S108" s="126">
        <v>401</v>
      </c>
      <c r="T108" s="126">
        <v>843</v>
      </c>
      <c r="U108" s="540">
        <f t="shared" si="27"/>
        <v>1969</v>
      </c>
    </row>
    <row r="109" spans="2:21">
      <c r="B109" s="543"/>
      <c r="C109" s="126" t="s">
        <v>340</v>
      </c>
      <c r="D109" s="126">
        <v>14</v>
      </c>
      <c r="E109" s="126">
        <v>5</v>
      </c>
      <c r="F109" s="126">
        <v>3</v>
      </c>
      <c r="G109" s="540">
        <f t="shared" si="35"/>
        <v>22</v>
      </c>
      <c r="P109" s="543"/>
      <c r="Q109" s="14" t="s">
        <v>340</v>
      </c>
      <c r="R109" s="126">
        <v>326</v>
      </c>
      <c r="S109" s="126">
        <v>195</v>
      </c>
      <c r="T109" s="126">
        <v>32</v>
      </c>
      <c r="U109" s="540">
        <f t="shared" si="27"/>
        <v>553</v>
      </c>
    </row>
    <row r="110" spans="2:21">
      <c r="B110" s="538" t="s">
        <v>493</v>
      </c>
      <c r="C110" s="539"/>
      <c r="D110" s="540">
        <f>SUM(D101:D109)</f>
        <v>162</v>
      </c>
      <c r="E110" s="540">
        <f t="shared" ref="E110:F110" si="36">SUM(E101:E109)</f>
        <v>81</v>
      </c>
      <c r="F110" s="540">
        <f t="shared" si="36"/>
        <v>109</v>
      </c>
      <c r="G110" s="540">
        <f>SUM(G101:G109)</f>
        <v>352</v>
      </c>
      <c r="P110" s="538" t="s">
        <v>493</v>
      </c>
      <c r="Q110" s="539"/>
      <c r="R110" s="540">
        <f>SUM(R101:R109)</f>
        <v>4265</v>
      </c>
      <c r="S110" s="540">
        <f t="shared" ref="S110" si="37">SUM(S101:S109)</f>
        <v>2716</v>
      </c>
      <c r="T110" s="540">
        <f t="shared" ref="T110" si="38">SUM(T101:T109)</f>
        <v>3583</v>
      </c>
      <c r="U110" s="540">
        <f t="shared" ref="U110" si="39">SUM(U101:U109)</f>
        <v>10564</v>
      </c>
    </row>
    <row r="111" spans="2:21">
      <c r="B111" s="665" t="s">
        <v>10</v>
      </c>
      <c r="C111" s="665"/>
      <c r="D111" s="541">
        <f>SUM(D110,D100,D94,D89,D84,D80,D78)</f>
        <v>171</v>
      </c>
      <c r="E111" s="541">
        <f>SUM(E110,E100,E94,E89,E84,E80,E78)</f>
        <v>92</v>
      </c>
      <c r="F111" s="541">
        <f>SUM(F110,F100,F94,F89,F84,F80,F78)</f>
        <v>125</v>
      </c>
      <c r="G111" s="541">
        <f>SUM(G110,G100,G94,G89,G84,G80,G78)</f>
        <v>388</v>
      </c>
      <c r="P111" s="665" t="s">
        <v>10</v>
      </c>
      <c r="Q111" s="665"/>
      <c r="R111" s="541">
        <f>SUM(R110,R100,R94,R89,R84,R80,R78)</f>
        <v>5450</v>
      </c>
      <c r="S111" s="563">
        <f>SUM(S110,S100,S94,S89,S84,S80,S78)</f>
        <v>3486</v>
      </c>
      <c r="T111" s="563">
        <f>SUM(T110,T100,T94,T89,T84,T80,T78)</f>
        <v>6810</v>
      </c>
      <c r="U111" s="563">
        <f>SUM(U110,U100,U94,U89,U84,U80,U78)</f>
        <v>15746</v>
      </c>
    </row>
    <row r="112" spans="2:21">
      <c r="C112" s="14"/>
      <c r="D112" s="14"/>
      <c r="E112" s="14"/>
      <c r="F112" s="14"/>
      <c r="G112" s="14"/>
      <c r="P112" s="14"/>
      <c r="Q112" s="14"/>
      <c r="R112" s="14"/>
      <c r="S112" s="14"/>
      <c r="T112" s="14"/>
      <c r="U112" s="14"/>
    </row>
    <row r="113" spans="2:21">
      <c r="C113" s="14"/>
      <c r="D113" s="14"/>
      <c r="E113" s="14"/>
      <c r="F113" s="14"/>
      <c r="G113" s="14"/>
      <c r="P113" s="14"/>
      <c r="Q113" s="14"/>
      <c r="R113" s="14"/>
      <c r="S113" s="14"/>
      <c r="T113" s="14"/>
      <c r="U113" s="14"/>
    </row>
    <row r="114" spans="2:21">
      <c r="C114" s="14"/>
      <c r="D114" s="14"/>
      <c r="E114" s="14"/>
      <c r="F114" s="14"/>
      <c r="G114" s="14"/>
      <c r="P114" s="14"/>
      <c r="Q114" s="14"/>
      <c r="R114" s="14"/>
      <c r="S114" s="14"/>
      <c r="T114" s="14"/>
      <c r="U114" s="14"/>
    </row>
    <row r="115" spans="2:21">
      <c r="C115" s="14"/>
      <c r="D115" s="14"/>
      <c r="E115" s="14"/>
      <c r="F115" s="14"/>
      <c r="G115" s="14"/>
      <c r="P115" s="14"/>
      <c r="Q115" s="14"/>
      <c r="R115" s="14"/>
      <c r="S115" s="14"/>
      <c r="T115" s="14"/>
      <c r="U115" s="14"/>
    </row>
    <row r="116" spans="2:21">
      <c r="C116" s="14"/>
      <c r="D116" s="14"/>
      <c r="E116" s="14"/>
      <c r="F116" s="14"/>
      <c r="G116" s="14"/>
      <c r="P116" s="14"/>
      <c r="Q116" s="14"/>
      <c r="R116" s="14"/>
      <c r="S116" s="14"/>
      <c r="T116" s="14"/>
      <c r="U116" s="14"/>
    </row>
    <row r="117" spans="2:21">
      <c r="C117" s="14"/>
      <c r="D117" s="14"/>
      <c r="E117" s="14"/>
      <c r="F117" s="14"/>
      <c r="G117" s="14"/>
      <c r="P117" s="14"/>
      <c r="Q117" s="14"/>
      <c r="R117" s="14"/>
      <c r="S117" s="14"/>
      <c r="T117" s="14"/>
      <c r="U117" s="14"/>
    </row>
    <row r="118" spans="2:21">
      <c r="C118" s="14"/>
      <c r="D118" s="14"/>
      <c r="E118" s="14"/>
      <c r="F118" s="14"/>
      <c r="G118" s="14"/>
      <c r="P118" s="14"/>
      <c r="Q118" s="14"/>
      <c r="R118" s="14"/>
      <c r="S118" s="14"/>
      <c r="T118" s="14"/>
      <c r="U118" s="14"/>
    </row>
    <row r="119" spans="2:21">
      <c r="B119" s="14"/>
      <c r="C119" s="14"/>
      <c r="D119" s="14"/>
      <c r="E119" s="14"/>
      <c r="F119" s="14"/>
      <c r="G119" s="14"/>
      <c r="P119" s="14"/>
      <c r="Q119" s="14"/>
      <c r="R119" s="14"/>
      <c r="S119" s="14"/>
      <c r="T119" s="14"/>
      <c r="U119" s="14"/>
    </row>
    <row r="120" spans="2:21">
      <c r="B120" s="14"/>
      <c r="C120" s="14"/>
      <c r="D120" s="14"/>
      <c r="E120" s="14"/>
      <c r="F120" s="14"/>
      <c r="G120" s="14"/>
      <c r="P120" s="14"/>
      <c r="Q120" s="14"/>
      <c r="R120" s="14"/>
      <c r="S120" s="14"/>
      <c r="T120" s="14"/>
      <c r="U120" s="14"/>
    </row>
    <row r="121" spans="2:21">
      <c r="B121" s="14"/>
      <c r="C121" s="14"/>
      <c r="D121" s="14"/>
      <c r="E121" s="14"/>
      <c r="F121" s="14"/>
      <c r="G121" s="14"/>
      <c r="P121" s="14"/>
      <c r="Q121" s="14"/>
      <c r="R121" s="14"/>
      <c r="S121" s="14"/>
      <c r="T121" s="14"/>
      <c r="U121" s="14"/>
    </row>
    <row r="122" spans="2:21">
      <c r="B122" s="14"/>
      <c r="C122" s="14"/>
      <c r="D122" s="14"/>
      <c r="E122" s="14"/>
      <c r="F122" s="14"/>
      <c r="G122" s="14"/>
      <c r="P122" s="14"/>
      <c r="Q122" s="14"/>
      <c r="R122" s="14"/>
      <c r="S122" s="14"/>
      <c r="T122" s="14"/>
      <c r="U122" s="14"/>
    </row>
    <row r="123" spans="2:21">
      <c r="B123" s="14"/>
      <c r="C123" s="14"/>
      <c r="D123" s="14"/>
      <c r="E123" s="14"/>
      <c r="F123" s="14"/>
      <c r="G123" s="14"/>
      <c r="P123" s="14"/>
      <c r="Q123" s="14"/>
      <c r="R123" s="14"/>
      <c r="S123" s="14"/>
      <c r="T123" s="14"/>
      <c r="U123" s="14"/>
    </row>
    <row r="124" spans="2:21">
      <c r="B124" s="14"/>
      <c r="C124" s="14"/>
      <c r="D124" s="14"/>
      <c r="E124" s="14"/>
      <c r="F124" s="14"/>
      <c r="G124" s="14"/>
      <c r="P124" s="14"/>
      <c r="Q124" s="14"/>
      <c r="R124" s="14"/>
      <c r="S124" s="14"/>
      <c r="T124" s="14"/>
      <c r="U124" s="14"/>
    </row>
    <row r="125" spans="2:21">
      <c r="B125" s="14"/>
      <c r="C125" s="14"/>
      <c r="D125" s="14"/>
      <c r="E125" s="14"/>
      <c r="F125" s="14"/>
      <c r="G125" s="14"/>
      <c r="P125" s="14"/>
      <c r="Q125" s="14"/>
      <c r="R125" s="14"/>
      <c r="S125" s="14"/>
      <c r="T125" s="14"/>
      <c r="U125" s="14"/>
    </row>
    <row r="126" spans="2:21">
      <c r="B126" s="14"/>
      <c r="C126" s="14"/>
      <c r="D126" s="14"/>
      <c r="E126" s="14"/>
      <c r="F126" s="14"/>
      <c r="G126" s="14"/>
      <c r="P126" s="14"/>
      <c r="Q126" s="14"/>
      <c r="R126" s="14"/>
      <c r="S126" s="14"/>
      <c r="T126" s="14"/>
      <c r="U126" s="14"/>
    </row>
    <row r="127" spans="2:21">
      <c r="B127" s="14"/>
      <c r="C127" s="14"/>
      <c r="D127" s="14"/>
      <c r="E127" s="14"/>
      <c r="F127" s="14"/>
      <c r="G127" s="14"/>
      <c r="P127" s="14"/>
      <c r="Q127" s="14"/>
      <c r="R127" s="14"/>
      <c r="S127" s="14"/>
      <c r="T127" s="14"/>
      <c r="U127" s="14"/>
    </row>
    <row r="128" spans="2:21">
      <c r="B128" s="14"/>
      <c r="C128" s="14"/>
      <c r="D128" s="14"/>
      <c r="E128" s="14"/>
      <c r="F128" s="14"/>
      <c r="G128" s="14"/>
      <c r="P128" s="14"/>
      <c r="Q128" s="14"/>
      <c r="R128" s="14"/>
      <c r="S128" s="14"/>
      <c r="T128" s="14"/>
      <c r="U128" s="14"/>
    </row>
    <row r="129" spans="2:21">
      <c r="B129" s="14"/>
      <c r="C129" s="14"/>
      <c r="D129" s="14"/>
      <c r="E129" s="14"/>
      <c r="F129" s="14"/>
      <c r="G129" s="14"/>
      <c r="P129" s="14"/>
      <c r="Q129" s="14"/>
      <c r="R129" s="14"/>
      <c r="S129" s="14"/>
      <c r="T129" s="14"/>
      <c r="U129" s="14"/>
    </row>
    <row r="130" spans="2:21">
      <c r="B130" s="14"/>
      <c r="C130" s="14"/>
      <c r="D130" s="14"/>
      <c r="E130" s="14"/>
      <c r="F130" s="14"/>
      <c r="G130" s="14"/>
      <c r="P130" s="14"/>
      <c r="Q130" s="14"/>
      <c r="R130" s="14"/>
      <c r="S130" s="14"/>
      <c r="T130" s="14"/>
      <c r="U130" s="141"/>
    </row>
    <row r="131" spans="2:21">
      <c r="B131" s="14"/>
      <c r="C131" s="14"/>
      <c r="D131" s="14"/>
      <c r="E131" s="14"/>
      <c r="F131" s="14"/>
      <c r="G131" s="14"/>
    </row>
    <row r="132" spans="2:21">
      <c r="B132" s="14"/>
      <c r="C132" s="14"/>
      <c r="D132" s="14"/>
      <c r="E132" s="14"/>
      <c r="F132" s="14"/>
      <c r="G132" s="14"/>
    </row>
    <row r="133" spans="2:21">
      <c r="B133" s="14"/>
      <c r="C133" s="14"/>
      <c r="D133" s="14"/>
      <c r="E133" s="14"/>
      <c r="F133" s="14"/>
      <c r="G133" s="14"/>
    </row>
    <row r="134" spans="2:21">
      <c r="B134" s="14"/>
      <c r="C134" s="14"/>
      <c r="D134" s="14"/>
      <c r="E134" s="14"/>
      <c r="F134" s="14"/>
      <c r="G134" s="14"/>
    </row>
    <row r="135" spans="2:21">
      <c r="B135" s="14"/>
      <c r="C135" s="14"/>
      <c r="D135" s="14"/>
      <c r="E135" s="14"/>
      <c r="F135" s="14"/>
      <c r="G135" s="14"/>
    </row>
    <row r="136" spans="2:21">
      <c r="B136" s="14"/>
      <c r="C136" s="14"/>
      <c r="D136" s="14"/>
      <c r="E136" s="14"/>
      <c r="F136" s="14"/>
      <c r="G136" s="14"/>
    </row>
    <row r="137" spans="2:21">
      <c r="B137" s="14"/>
      <c r="C137" s="14"/>
      <c r="D137" s="14"/>
      <c r="E137" s="14"/>
      <c r="F137" s="14"/>
      <c r="G137" s="14"/>
    </row>
    <row r="138" spans="2:21">
      <c r="B138" s="14"/>
      <c r="C138" s="14"/>
      <c r="D138" s="14"/>
      <c r="E138" s="14"/>
      <c r="F138" s="14"/>
      <c r="G138" s="141"/>
    </row>
  </sheetData>
  <sortState ref="P31:S41">
    <sortCondition ref="S30"/>
  </sortState>
  <mergeCells count="2">
    <mergeCell ref="B111:C111"/>
    <mergeCell ref="P111:Q111"/>
  </mergeCells>
  <conditionalFormatting sqref="AF11:AN14 AL8:AN8 AI9:AN10 AF8:AF10">
    <cfRule type="cellIs" dxfId="0" priority="3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horizontalDpi="4294967293" r:id="rId1"/>
  <headerFooter>
    <oddHeader>&amp;C&amp;"-,Gras"Chapitre IV - Santé et QVT
2. Congés pour raison de santé</oddHeader>
    <oddFooter>&amp;C&amp;"-,Gras"Base de Données Sociales 2023&amp;R&amp;P</oddFooter>
  </headerFooter>
  <rowBreaks count="2" manualBreakCount="2">
    <brk id="29" max="40" man="1"/>
    <brk id="72" max="40" man="1"/>
  </rowBreaks>
  <colBreaks count="2" manualBreakCount="2">
    <brk id="14" max="1048575" man="1"/>
    <brk id="2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D16B-3D02-4BA6-9921-A94C9FFE8656}">
  <sheetPr codeName="Feuil18">
    <tabColor rgb="FF92D050"/>
  </sheetPr>
  <dimension ref="A1:L169"/>
  <sheetViews>
    <sheetView showGridLines="0" view="pageBreakPreview" topLeftCell="A145" zoomScale="60" zoomScaleNormal="100" workbookViewId="0">
      <selection activeCell="P202" sqref="P202"/>
    </sheetView>
  </sheetViews>
  <sheetFormatPr baseColWidth="10" defaultRowHeight="15"/>
  <cols>
    <col min="6" max="6" width="2.42578125" customWidth="1"/>
    <col min="8" max="12" width="8" customWidth="1"/>
  </cols>
  <sheetData>
    <row r="1" spans="1:11" ht="15.75">
      <c r="A1" s="13" t="s">
        <v>341</v>
      </c>
    </row>
    <row r="2" spans="1:11" ht="15.75" thickBot="1">
      <c r="A2" t="s">
        <v>342</v>
      </c>
      <c r="G2" t="s">
        <v>343</v>
      </c>
    </row>
    <row r="3" spans="1:11" ht="15.75" thickBot="1">
      <c r="C3" s="144" t="s">
        <v>24</v>
      </c>
      <c r="D3" s="143" t="s">
        <v>25</v>
      </c>
      <c r="E3" s="142" t="s">
        <v>10</v>
      </c>
      <c r="H3" s="156" t="s">
        <v>62</v>
      </c>
      <c r="I3" s="156" t="s">
        <v>63</v>
      </c>
      <c r="J3" s="157" t="s">
        <v>64</v>
      </c>
      <c r="K3" s="154" t="s">
        <v>9</v>
      </c>
    </row>
    <row r="4" spans="1:11" ht="15.75" thickBot="1">
      <c r="A4" s="144"/>
      <c r="B4" s="143" t="s">
        <v>6</v>
      </c>
      <c r="C4" s="457">
        <v>245</v>
      </c>
      <c r="D4" s="457">
        <v>387</v>
      </c>
      <c r="E4" s="178">
        <f>SUM(C4:D4)</f>
        <v>632</v>
      </c>
      <c r="G4" s="144" t="s">
        <v>339</v>
      </c>
      <c r="H4" s="457">
        <v>36</v>
      </c>
      <c r="I4" s="457">
        <v>6</v>
      </c>
      <c r="J4" s="457">
        <v>12</v>
      </c>
      <c r="K4" s="178">
        <f t="shared" ref="K4:K14" si="0">SUM(H4:J4)</f>
        <v>54</v>
      </c>
    </row>
    <row r="5" spans="1:11" ht="15.75" thickBot="1">
      <c r="A5" s="145" t="s">
        <v>210</v>
      </c>
      <c r="B5" s="143" t="s">
        <v>67</v>
      </c>
      <c r="C5" s="457">
        <f>58+47+30</f>
        <v>135</v>
      </c>
      <c r="D5" s="457">
        <f>73+67+30</f>
        <v>170</v>
      </c>
      <c r="E5" s="178">
        <f>SUM(C5:D5)</f>
        <v>305</v>
      </c>
      <c r="G5" s="144" t="s">
        <v>159</v>
      </c>
      <c r="H5" s="457">
        <v>140</v>
      </c>
      <c r="I5" s="457">
        <v>18</v>
      </c>
      <c r="J5" s="457">
        <v>21</v>
      </c>
      <c r="K5" s="178">
        <f t="shared" si="0"/>
        <v>179</v>
      </c>
    </row>
    <row r="6" spans="1:11" ht="15.75" thickBot="1">
      <c r="A6" s="146"/>
      <c r="B6" s="148" t="s">
        <v>10</v>
      </c>
      <c r="C6" s="532">
        <f>SUM(C4:C5)</f>
        <v>380</v>
      </c>
      <c r="D6" s="179">
        <f t="shared" ref="D6" si="1">SUM(D4:D5)</f>
        <v>557</v>
      </c>
      <c r="E6" s="178">
        <f t="shared" ref="E6" si="2">SUM(E4:E5)</f>
        <v>937</v>
      </c>
      <c r="G6" s="144" t="s">
        <v>160</v>
      </c>
      <c r="H6" s="457">
        <v>139</v>
      </c>
      <c r="I6" s="457">
        <v>17</v>
      </c>
      <c r="J6" s="457">
        <v>23</v>
      </c>
      <c r="K6" s="178">
        <f t="shared" si="0"/>
        <v>179</v>
      </c>
    </row>
    <row r="7" spans="1:11" ht="15.75" thickBot="1">
      <c r="A7" s="144"/>
      <c r="B7" s="147" t="s">
        <v>6</v>
      </c>
      <c r="C7" s="457">
        <v>231</v>
      </c>
      <c r="D7" s="457">
        <v>115</v>
      </c>
      <c r="E7" s="178">
        <f>SUM(C7:D7)</f>
        <v>346</v>
      </c>
      <c r="G7" s="144" t="s">
        <v>161</v>
      </c>
      <c r="H7" s="457">
        <v>112</v>
      </c>
      <c r="I7" s="457">
        <v>21</v>
      </c>
      <c r="J7" s="457">
        <v>22</v>
      </c>
      <c r="K7" s="178">
        <f t="shared" si="0"/>
        <v>155</v>
      </c>
    </row>
    <row r="8" spans="1:11" ht="15.75" thickBot="1">
      <c r="A8" s="145" t="s">
        <v>5</v>
      </c>
      <c r="B8" s="143" t="s">
        <v>67</v>
      </c>
      <c r="C8" s="457">
        <v>184</v>
      </c>
      <c r="D8" s="457">
        <v>80</v>
      </c>
      <c r="E8" s="178">
        <f>SUM(C8:D8)</f>
        <v>264</v>
      </c>
      <c r="G8" s="144" t="s">
        <v>162</v>
      </c>
      <c r="H8" s="457">
        <v>135</v>
      </c>
      <c r="I8" s="457">
        <v>29</v>
      </c>
      <c r="J8" s="457">
        <v>15</v>
      </c>
      <c r="K8" s="178">
        <f t="shared" si="0"/>
        <v>179</v>
      </c>
    </row>
    <row r="9" spans="1:11" ht="15.75" thickBot="1">
      <c r="A9" s="146"/>
      <c r="B9" s="148" t="s">
        <v>10</v>
      </c>
      <c r="C9" s="532">
        <f>SUM(C7:C8)</f>
        <v>415</v>
      </c>
      <c r="D9" s="179">
        <f t="shared" ref="D9:E9" si="3">SUM(D7:D8)</f>
        <v>195</v>
      </c>
      <c r="E9" s="178">
        <f t="shared" si="3"/>
        <v>610</v>
      </c>
      <c r="G9" s="144" t="s">
        <v>163</v>
      </c>
      <c r="H9" s="457">
        <v>152</v>
      </c>
      <c r="I9" s="457">
        <v>19</v>
      </c>
      <c r="J9" s="457">
        <v>30</v>
      </c>
      <c r="K9" s="178">
        <f t="shared" si="0"/>
        <v>201</v>
      </c>
    </row>
    <row r="10" spans="1:11" ht="15.75" thickBot="1">
      <c r="A10" s="666" t="s">
        <v>10</v>
      </c>
      <c r="B10" s="666"/>
      <c r="C10" s="172">
        <f>SUM(C9,C6)</f>
        <v>795</v>
      </c>
      <c r="D10" s="172">
        <f t="shared" ref="D10:E10" si="4">SUM(D9,D6)</f>
        <v>752</v>
      </c>
      <c r="E10" s="178">
        <f t="shared" si="4"/>
        <v>1547</v>
      </c>
      <c r="G10" s="144" t="s">
        <v>164</v>
      </c>
      <c r="H10" s="457">
        <v>156</v>
      </c>
      <c r="I10" s="457">
        <v>42</v>
      </c>
      <c r="J10" s="457">
        <v>37</v>
      </c>
      <c r="K10" s="178">
        <f t="shared" si="0"/>
        <v>235</v>
      </c>
    </row>
    <row r="11" spans="1:11" ht="15.75" thickBot="1">
      <c r="G11" s="144" t="s">
        <v>165</v>
      </c>
      <c r="H11" s="457">
        <v>149</v>
      </c>
      <c r="I11" s="457">
        <v>30</v>
      </c>
      <c r="J11" s="457">
        <v>26</v>
      </c>
      <c r="K11" s="178">
        <f t="shared" si="0"/>
        <v>205</v>
      </c>
    </row>
    <row r="12" spans="1:11" ht="15.75" thickBot="1">
      <c r="G12" s="144" t="s">
        <v>166</v>
      </c>
      <c r="H12" s="457">
        <v>99</v>
      </c>
      <c r="I12" s="457">
        <v>15</v>
      </c>
      <c r="J12" s="457">
        <v>23</v>
      </c>
      <c r="K12" s="178">
        <f t="shared" si="0"/>
        <v>137</v>
      </c>
    </row>
    <row r="13" spans="1:11" ht="15.75" thickBot="1">
      <c r="G13" s="144" t="s">
        <v>175</v>
      </c>
      <c r="H13" s="457">
        <v>21</v>
      </c>
      <c r="I13" s="457">
        <v>1</v>
      </c>
      <c r="J13" s="457">
        <v>1</v>
      </c>
      <c r="K13" s="178">
        <f t="shared" si="0"/>
        <v>23</v>
      </c>
    </row>
    <row r="14" spans="1:11" ht="15.75" thickBot="1">
      <c r="G14" s="153" t="s">
        <v>9</v>
      </c>
      <c r="H14" s="177">
        <f>SUM(H4:H13)</f>
        <v>1139</v>
      </c>
      <c r="I14" s="177">
        <f t="shared" ref="I14:J14" si="5">SUM(I4:I13)</f>
        <v>198</v>
      </c>
      <c r="J14" s="177">
        <f t="shared" si="5"/>
        <v>210</v>
      </c>
      <c r="K14" s="178">
        <f t="shared" si="0"/>
        <v>1547</v>
      </c>
    </row>
    <row r="33" spans="1:11" ht="15.75">
      <c r="A33" s="13" t="s">
        <v>344</v>
      </c>
      <c r="B33" s="13"/>
    </row>
    <row r="34" spans="1:11" ht="15.75" thickBot="1">
      <c r="A34" t="s">
        <v>342</v>
      </c>
      <c r="G34" t="s">
        <v>343</v>
      </c>
    </row>
    <row r="35" spans="1:11" ht="15.75" thickBot="1">
      <c r="C35" s="144" t="s">
        <v>24</v>
      </c>
      <c r="D35" s="143" t="s">
        <v>25</v>
      </c>
      <c r="E35" s="142" t="s">
        <v>10</v>
      </c>
      <c r="H35" s="156" t="s">
        <v>62</v>
      </c>
      <c r="I35" s="156" t="s">
        <v>63</v>
      </c>
      <c r="J35" s="157" t="s">
        <v>64</v>
      </c>
      <c r="K35" s="154" t="s">
        <v>9</v>
      </c>
    </row>
    <row r="36" spans="1:11" ht="15.75" thickBot="1">
      <c r="A36" s="144"/>
      <c r="B36" s="143" t="s">
        <v>6</v>
      </c>
      <c r="C36" s="457">
        <v>15</v>
      </c>
      <c r="D36" s="457">
        <v>1</v>
      </c>
      <c r="E36" s="178">
        <f>SUM(C36:D36)</f>
        <v>16</v>
      </c>
      <c r="G36" s="144" t="s">
        <v>339</v>
      </c>
      <c r="H36" s="457"/>
      <c r="I36" s="457"/>
      <c r="J36" s="457"/>
      <c r="K36" s="178">
        <f t="shared" ref="K36:K46" si="6">SUM(H36:J36)</f>
        <v>0</v>
      </c>
    </row>
    <row r="37" spans="1:11" ht="15.75" thickBot="1">
      <c r="A37" s="145" t="s">
        <v>210</v>
      </c>
      <c r="B37" s="143" t="s">
        <v>67</v>
      </c>
      <c r="C37" s="457">
        <v>6</v>
      </c>
      <c r="D37" s="457">
        <v>3</v>
      </c>
      <c r="E37" s="178">
        <f>SUM(C37:D37)</f>
        <v>9</v>
      </c>
      <c r="G37" s="144" t="s">
        <v>159</v>
      </c>
      <c r="H37" s="457"/>
      <c r="I37" s="457"/>
      <c r="J37" s="457">
        <v>1</v>
      </c>
      <c r="K37" s="178">
        <f t="shared" si="6"/>
        <v>1</v>
      </c>
    </row>
    <row r="38" spans="1:11" ht="15.75" thickBot="1">
      <c r="A38" s="146"/>
      <c r="B38" s="150" t="s">
        <v>10</v>
      </c>
      <c r="C38" s="532">
        <f>SUM(C36:C37)</f>
        <v>21</v>
      </c>
      <c r="D38" s="179">
        <f t="shared" ref="D38:E38" si="7">SUM(D36:D37)</f>
        <v>4</v>
      </c>
      <c r="E38" s="178">
        <f t="shared" si="7"/>
        <v>25</v>
      </c>
      <c r="G38" s="144" t="s">
        <v>160</v>
      </c>
      <c r="H38" s="457">
        <v>2</v>
      </c>
      <c r="I38" s="457"/>
      <c r="J38" s="457"/>
      <c r="K38" s="178">
        <f t="shared" si="6"/>
        <v>2</v>
      </c>
    </row>
    <row r="39" spans="1:11" ht="15.75" thickBot="1">
      <c r="A39" s="144"/>
      <c r="B39" s="147" t="s">
        <v>6</v>
      </c>
      <c r="C39" s="457">
        <v>4</v>
      </c>
      <c r="D39" s="457">
        <v>1</v>
      </c>
      <c r="E39" s="178">
        <f>SUM(C39:D39)</f>
        <v>5</v>
      </c>
      <c r="G39" s="144" t="s">
        <v>161</v>
      </c>
      <c r="H39" s="457">
        <v>8</v>
      </c>
      <c r="I39" s="457">
        <v>2</v>
      </c>
      <c r="J39" s="457">
        <v>1</v>
      </c>
      <c r="K39" s="178">
        <f t="shared" si="6"/>
        <v>11</v>
      </c>
    </row>
    <row r="40" spans="1:11" ht="15.75" thickBot="1">
      <c r="A40" s="145" t="s">
        <v>5</v>
      </c>
      <c r="B40" s="143" t="s">
        <v>67</v>
      </c>
      <c r="C40" s="457">
        <v>3</v>
      </c>
      <c r="D40" s="457">
        <v>15</v>
      </c>
      <c r="E40" s="178">
        <f>SUM(C40:D40)</f>
        <v>18</v>
      </c>
      <c r="G40" s="144" t="s">
        <v>162</v>
      </c>
      <c r="H40" s="457">
        <v>7</v>
      </c>
      <c r="I40" s="457">
        <v>1</v>
      </c>
      <c r="J40" s="457">
        <v>3</v>
      </c>
      <c r="K40" s="178">
        <f t="shared" si="6"/>
        <v>11</v>
      </c>
    </row>
    <row r="41" spans="1:11" ht="15.75" thickBot="1">
      <c r="A41" s="146"/>
      <c r="B41" s="150" t="s">
        <v>10</v>
      </c>
      <c r="C41" s="532">
        <f>SUM(C39:C40)</f>
        <v>7</v>
      </c>
      <c r="D41" s="179">
        <f t="shared" ref="D41:E41" si="8">SUM(D39:D40)</f>
        <v>16</v>
      </c>
      <c r="E41" s="178">
        <f t="shared" si="8"/>
        <v>23</v>
      </c>
      <c r="G41" s="144" t="s">
        <v>163</v>
      </c>
      <c r="H41" s="457">
        <v>4</v>
      </c>
      <c r="I41" s="457"/>
      <c r="J41" s="457">
        <v>3</v>
      </c>
      <c r="K41" s="178">
        <f t="shared" si="6"/>
        <v>7</v>
      </c>
    </row>
    <row r="42" spans="1:11" ht="15.75" thickBot="1">
      <c r="A42" s="666" t="s">
        <v>10</v>
      </c>
      <c r="B42" s="666"/>
      <c r="C42" s="172">
        <f>SUM(C41,C38)</f>
        <v>28</v>
      </c>
      <c r="D42" s="172">
        <f t="shared" ref="D42:E42" si="9">SUM(D41,D38)</f>
        <v>20</v>
      </c>
      <c r="E42" s="178">
        <f t="shared" si="9"/>
        <v>48</v>
      </c>
      <c r="G42" s="144" t="s">
        <v>164</v>
      </c>
      <c r="H42" s="457">
        <v>3</v>
      </c>
      <c r="I42" s="457"/>
      <c r="J42" s="457">
        <v>3</v>
      </c>
      <c r="K42" s="178">
        <f t="shared" si="6"/>
        <v>6</v>
      </c>
    </row>
    <row r="43" spans="1:11" ht="15.75" thickBot="1">
      <c r="G43" s="144" t="s">
        <v>165</v>
      </c>
      <c r="H43" s="457">
        <v>4</v>
      </c>
      <c r="I43" s="457"/>
      <c r="J43" s="457">
        <v>4</v>
      </c>
      <c r="K43" s="178">
        <f t="shared" si="6"/>
        <v>8</v>
      </c>
    </row>
    <row r="44" spans="1:11" ht="15.75" thickBot="1">
      <c r="G44" s="144" t="s">
        <v>166</v>
      </c>
      <c r="H44" s="457">
        <v>2</v>
      </c>
      <c r="I44" s="457"/>
      <c r="J44" s="457"/>
      <c r="K44" s="178">
        <f t="shared" si="6"/>
        <v>2</v>
      </c>
    </row>
    <row r="45" spans="1:11" ht="15.75" thickBot="1">
      <c r="B45" s="164" t="s">
        <v>24</v>
      </c>
      <c r="C45" s="164" t="s">
        <v>25</v>
      </c>
      <c r="D45" s="153" t="s">
        <v>9</v>
      </c>
      <c r="G45" s="144" t="s">
        <v>175</v>
      </c>
      <c r="H45" s="457"/>
      <c r="I45" s="457"/>
      <c r="J45" s="457"/>
      <c r="K45" s="178">
        <f t="shared" si="6"/>
        <v>0</v>
      </c>
    </row>
    <row r="46" spans="1:11" ht="15.75" thickBot="1">
      <c r="A46" s="161">
        <v>0.5</v>
      </c>
      <c r="B46" s="457">
        <v>11</v>
      </c>
      <c r="C46" s="457">
        <v>17</v>
      </c>
      <c r="D46" s="534">
        <f>SUM(B46:C46)</f>
        <v>28</v>
      </c>
      <c r="G46" s="153" t="s">
        <v>9</v>
      </c>
      <c r="H46" s="177">
        <f>SUM(H36:H45)</f>
        <v>30</v>
      </c>
      <c r="I46" s="177">
        <f t="shared" ref="I46:J46" si="10">SUM(I36:I45)</f>
        <v>3</v>
      </c>
      <c r="J46" s="177">
        <f t="shared" si="10"/>
        <v>15</v>
      </c>
      <c r="K46" s="178">
        <f t="shared" si="6"/>
        <v>48</v>
      </c>
    </row>
    <row r="47" spans="1:11" ht="15.75" thickBot="1">
      <c r="A47" s="161">
        <v>0.6</v>
      </c>
      <c r="B47" s="457">
        <v>4</v>
      </c>
      <c r="C47" s="457"/>
      <c r="D47" s="535">
        <f t="shared" ref="D47:D51" si="11">SUM(B47:C47)</f>
        <v>4</v>
      </c>
    </row>
    <row r="48" spans="1:11" ht="15.75" thickBot="1">
      <c r="A48" s="161">
        <v>0.7</v>
      </c>
      <c r="B48" s="457"/>
      <c r="C48" s="457"/>
      <c r="D48" s="535">
        <f t="shared" si="11"/>
        <v>0</v>
      </c>
    </row>
    <row r="49" spans="1:11" ht="15.75" thickBot="1">
      <c r="A49" s="161">
        <v>0.8</v>
      </c>
      <c r="B49" s="457">
        <v>13</v>
      </c>
      <c r="C49" s="457">
        <v>3</v>
      </c>
      <c r="D49" s="535">
        <f t="shared" si="11"/>
        <v>16</v>
      </c>
      <c r="H49" s="164" t="s">
        <v>62</v>
      </c>
      <c r="I49" s="164" t="s">
        <v>63</v>
      </c>
      <c r="J49" s="164" t="s">
        <v>64</v>
      </c>
      <c r="K49" s="153" t="s">
        <v>9</v>
      </c>
    </row>
    <row r="50" spans="1:11" ht="15.75" thickBot="1">
      <c r="A50" s="161">
        <v>0.9</v>
      </c>
      <c r="B50" s="457"/>
      <c r="C50" s="457"/>
      <c r="D50" s="535">
        <f t="shared" si="11"/>
        <v>0</v>
      </c>
      <c r="G50" s="161">
        <v>0.5</v>
      </c>
      <c r="H50" s="457">
        <v>22</v>
      </c>
      <c r="I50" s="457"/>
      <c r="J50" s="457">
        <v>6</v>
      </c>
      <c r="K50" s="533">
        <f t="shared" ref="K50:K55" si="12">SUM(H50:J50)</f>
        <v>28</v>
      </c>
    </row>
    <row r="51" spans="1:11" ht="15.75" thickBot="1">
      <c r="A51" s="153" t="s">
        <v>9</v>
      </c>
      <c r="B51" s="177">
        <f>SUM(B46:B50)</f>
        <v>28</v>
      </c>
      <c r="C51" s="177">
        <f>SUM(C46:C50)</f>
        <v>20</v>
      </c>
      <c r="D51" s="533">
        <f t="shared" si="11"/>
        <v>48</v>
      </c>
      <c r="G51" s="161">
        <v>0.6</v>
      </c>
      <c r="H51" s="457">
        <v>1</v>
      </c>
      <c r="I51" s="457">
        <v>1</v>
      </c>
      <c r="J51" s="457">
        <v>2</v>
      </c>
      <c r="K51" s="533">
        <f t="shared" si="12"/>
        <v>4</v>
      </c>
    </row>
    <row r="52" spans="1:11" ht="15.75" thickBot="1">
      <c r="G52" s="161">
        <v>0.7</v>
      </c>
      <c r="H52" s="457"/>
      <c r="I52" s="457"/>
      <c r="J52" s="457"/>
      <c r="K52" s="533">
        <f t="shared" si="12"/>
        <v>0</v>
      </c>
    </row>
    <row r="53" spans="1:11" ht="15.75" thickBot="1">
      <c r="G53" s="161">
        <v>0.8</v>
      </c>
      <c r="H53" s="457">
        <v>7</v>
      </c>
      <c r="I53" s="457">
        <v>2</v>
      </c>
      <c r="J53" s="457">
        <v>7</v>
      </c>
      <c r="K53" s="533">
        <f t="shared" si="12"/>
        <v>16</v>
      </c>
    </row>
    <row r="54" spans="1:11" ht="15.75" thickBot="1">
      <c r="G54" s="161">
        <v>0.9</v>
      </c>
      <c r="H54" s="457"/>
      <c r="I54" s="457"/>
      <c r="J54" s="457"/>
      <c r="K54" s="533">
        <f t="shared" si="12"/>
        <v>0</v>
      </c>
    </row>
    <row r="55" spans="1:11" ht="15.75" thickBot="1">
      <c r="G55" s="153" t="s">
        <v>9</v>
      </c>
      <c r="H55" s="177">
        <f>SUM(H50:H54)</f>
        <v>30</v>
      </c>
      <c r="I55" s="177">
        <f t="shared" ref="I55:J55" si="13">SUM(I50:I54)</f>
        <v>3</v>
      </c>
      <c r="J55" s="177">
        <f t="shared" si="13"/>
        <v>15</v>
      </c>
      <c r="K55" s="533">
        <f t="shared" si="12"/>
        <v>48</v>
      </c>
    </row>
    <row r="64" spans="1:11" ht="15.75">
      <c r="A64" s="13" t="s">
        <v>344</v>
      </c>
    </row>
    <row r="86" spans="1:12" ht="15.75">
      <c r="A86" s="13" t="s">
        <v>345</v>
      </c>
    </row>
    <row r="87" spans="1:12" ht="15.75" thickBot="1">
      <c r="A87" t="s">
        <v>342</v>
      </c>
      <c r="G87" t="s">
        <v>343</v>
      </c>
    </row>
    <row r="88" spans="1:12" ht="15.75" thickBot="1">
      <c r="C88" s="144" t="s">
        <v>24</v>
      </c>
      <c r="D88" s="143" t="s">
        <v>25</v>
      </c>
      <c r="E88" s="142" t="s">
        <v>10</v>
      </c>
      <c r="H88" s="156" t="s">
        <v>73</v>
      </c>
      <c r="I88" s="156" t="s">
        <v>62</v>
      </c>
      <c r="J88" s="156" t="s">
        <v>63</v>
      </c>
      <c r="K88" s="157" t="s">
        <v>64</v>
      </c>
      <c r="L88" s="154" t="s">
        <v>9</v>
      </c>
    </row>
    <row r="89" spans="1:12" ht="15.75" thickBot="1">
      <c r="A89" s="144"/>
      <c r="B89" s="143" t="s">
        <v>6</v>
      </c>
      <c r="C89">
        <v>6</v>
      </c>
      <c r="D89">
        <v>4</v>
      </c>
      <c r="E89" s="160">
        <f>SUM(C89:D89)</f>
        <v>10</v>
      </c>
      <c r="G89" s="144" t="s">
        <v>339</v>
      </c>
      <c r="L89" s="160">
        <f t="shared" ref="L89:L98" si="14">SUM(H89:K89)</f>
        <v>0</v>
      </c>
    </row>
    <row r="90" spans="1:12" ht="15.75" thickBot="1">
      <c r="A90" s="145" t="s">
        <v>210</v>
      </c>
      <c r="B90" s="143" t="s">
        <v>67</v>
      </c>
      <c r="C90">
        <v>2</v>
      </c>
      <c r="D90">
        <v>4</v>
      </c>
      <c r="E90" s="160">
        <f>SUM(C90:D90)</f>
        <v>6</v>
      </c>
      <c r="G90" s="144" t="s">
        <v>159</v>
      </c>
      <c r="I90">
        <v>4</v>
      </c>
      <c r="K90">
        <v>1</v>
      </c>
      <c r="L90" s="160">
        <f t="shared" si="14"/>
        <v>5</v>
      </c>
    </row>
    <row r="91" spans="1:12" ht="15.75" thickBot="1">
      <c r="A91" s="146"/>
      <c r="B91" s="150" t="s">
        <v>10</v>
      </c>
      <c r="C91" s="149">
        <f>SUM(C89:C90)</f>
        <v>8</v>
      </c>
      <c r="D91" s="152">
        <f t="shared" ref="D91:E91" si="15">SUM(D89:D90)</f>
        <v>8</v>
      </c>
      <c r="E91" s="160">
        <f t="shared" si="15"/>
        <v>16</v>
      </c>
      <c r="G91" s="144" t="s">
        <v>160</v>
      </c>
      <c r="I91">
        <v>1</v>
      </c>
      <c r="J91">
        <v>2</v>
      </c>
      <c r="L91" s="160">
        <f t="shared" si="14"/>
        <v>3</v>
      </c>
    </row>
    <row r="92" spans="1:12" ht="15.75" thickBot="1">
      <c r="A92" s="144"/>
      <c r="B92" s="147" t="s">
        <v>6</v>
      </c>
      <c r="C92">
        <v>34</v>
      </c>
      <c r="D92">
        <v>8</v>
      </c>
      <c r="E92" s="160">
        <f>SUM(C92:D92)</f>
        <v>42</v>
      </c>
      <c r="G92" s="144" t="s">
        <v>161</v>
      </c>
      <c r="I92">
        <v>3</v>
      </c>
      <c r="J92">
        <v>2</v>
      </c>
      <c r="K92">
        <v>2</v>
      </c>
      <c r="L92" s="160">
        <f t="shared" si="14"/>
        <v>7</v>
      </c>
    </row>
    <row r="93" spans="1:12" ht="15.75" thickBot="1">
      <c r="A93" s="145" t="s">
        <v>5</v>
      </c>
      <c r="B93" s="143" t="s">
        <v>67</v>
      </c>
      <c r="C93">
        <v>6</v>
      </c>
      <c r="D93">
        <v>1</v>
      </c>
      <c r="E93" s="160">
        <f>SUM(C93:D93)</f>
        <v>7</v>
      </c>
      <c r="G93" s="144" t="s">
        <v>162</v>
      </c>
      <c r="I93">
        <v>3</v>
      </c>
      <c r="J93">
        <v>4</v>
      </c>
      <c r="K93">
        <v>3</v>
      </c>
      <c r="L93" s="160">
        <f t="shared" si="14"/>
        <v>10</v>
      </c>
    </row>
    <row r="94" spans="1:12" ht="15.75" thickBot="1">
      <c r="A94" s="146"/>
      <c r="B94" s="150" t="s">
        <v>10</v>
      </c>
      <c r="C94" s="149">
        <f>SUM(C92:C93)</f>
        <v>40</v>
      </c>
      <c r="D94" s="152">
        <f t="shared" ref="D94:E94" si="16">SUM(D92:D93)</f>
        <v>9</v>
      </c>
      <c r="E94" s="160">
        <f t="shared" si="16"/>
        <v>49</v>
      </c>
      <c r="G94" s="144" t="s">
        <v>163</v>
      </c>
      <c r="I94">
        <v>6</v>
      </c>
      <c r="J94">
        <v>3</v>
      </c>
      <c r="K94">
        <v>2</v>
      </c>
      <c r="L94" s="160">
        <f t="shared" si="14"/>
        <v>11</v>
      </c>
    </row>
    <row r="95" spans="1:12" ht="15.75" thickBot="1">
      <c r="A95" s="666" t="s">
        <v>10</v>
      </c>
      <c r="B95" s="666"/>
      <c r="C95" s="151">
        <f>SUM(C94,C91)</f>
        <v>48</v>
      </c>
      <c r="D95" s="151">
        <f t="shared" ref="D95:E95" si="17">SUM(D94,D91)</f>
        <v>17</v>
      </c>
      <c r="E95" s="160">
        <f t="shared" si="17"/>
        <v>65</v>
      </c>
      <c r="G95" s="144" t="s">
        <v>164</v>
      </c>
      <c r="H95">
        <v>1</v>
      </c>
      <c r="I95">
        <v>5</v>
      </c>
      <c r="J95">
        <v>4</v>
      </c>
      <c r="K95">
        <v>3</v>
      </c>
      <c r="L95" s="160">
        <f t="shared" si="14"/>
        <v>13</v>
      </c>
    </row>
    <row r="96" spans="1:12" ht="15.75" thickBot="1">
      <c r="G96" s="144" t="s">
        <v>165</v>
      </c>
      <c r="I96">
        <v>2</v>
      </c>
      <c r="J96">
        <v>2</v>
      </c>
      <c r="K96">
        <v>3</v>
      </c>
      <c r="L96" s="160">
        <f t="shared" si="14"/>
        <v>7</v>
      </c>
    </row>
    <row r="97" spans="1:12" ht="15.75" thickBot="1">
      <c r="G97" s="144" t="s">
        <v>166</v>
      </c>
      <c r="H97">
        <v>1</v>
      </c>
      <c r="I97">
        <v>7</v>
      </c>
      <c r="J97">
        <v>1</v>
      </c>
      <c r="L97" s="160">
        <f t="shared" si="14"/>
        <v>9</v>
      </c>
    </row>
    <row r="98" spans="1:12" ht="15.75" thickBot="1">
      <c r="G98" s="144" t="s">
        <v>175</v>
      </c>
      <c r="L98" s="160">
        <f t="shared" si="14"/>
        <v>0</v>
      </c>
    </row>
    <row r="99" spans="1:12" ht="15.75" thickBot="1">
      <c r="G99" s="153" t="s">
        <v>9</v>
      </c>
      <c r="H99" s="158">
        <f>SUM(H89:H98)</f>
        <v>2</v>
      </c>
      <c r="I99" s="158">
        <f>SUM(I89:I98)</f>
        <v>31</v>
      </c>
      <c r="J99" s="158">
        <f t="shared" ref="J99:K99" si="18">SUM(J89:J98)</f>
        <v>18</v>
      </c>
      <c r="K99" s="158">
        <f t="shared" si="18"/>
        <v>14</v>
      </c>
      <c r="L99" s="160">
        <f>SUM(H99:K99)</f>
        <v>65</v>
      </c>
    </row>
    <row r="100" spans="1:12" ht="15.75" thickBot="1"/>
    <row r="101" spans="1:12" ht="15.75" thickBot="1">
      <c r="B101" s="164" t="s">
        <v>24</v>
      </c>
      <c r="C101" s="164" t="s">
        <v>25</v>
      </c>
      <c r="D101" s="153" t="s">
        <v>9</v>
      </c>
    </row>
    <row r="102" spans="1:12" ht="15.75" thickBot="1">
      <c r="A102" s="161">
        <v>0.5</v>
      </c>
      <c r="B102">
        <v>3</v>
      </c>
      <c r="C102">
        <v>6</v>
      </c>
      <c r="D102" s="163">
        <f>SUM(B102:C102)</f>
        <v>9</v>
      </c>
      <c r="H102" s="164" t="s">
        <v>73</v>
      </c>
      <c r="I102" s="164" t="s">
        <v>62</v>
      </c>
      <c r="J102" s="164" t="s">
        <v>63</v>
      </c>
      <c r="K102" s="164" t="s">
        <v>64</v>
      </c>
      <c r="L102" s="153" t="s">
        <v>9</v>
      </c>
    </row>
    <row r="103" spans="1:12" ht="15.75" thickBot="1">
      <c r="A103" s="161">
        <v>0.6</v>
      </c>
      <c r="B103">
        <v>3</v>
      </c>
      <c r="D103" s="162">
        <f t="shared" ref="D103:D107" si="19">SUM(B103:C103)</f>
        <v>3</v>
      </c>
      <c r="G103" s="161">
        <v>0.5</v>
      </c>
      <c r="I103">
        <v>7</v>
      </c>
      <c r="K103">
        <v>2</v>
      </c>
      <c r="L103" s="159">
        <f>SUM(H103:K103)</f>
        <v>9</v>
      </c>
    </row>
    <row r="104" spans="1:12" ht="15.75" thickBot="1">
      <c r="A104" s="161">
        <v>0.7</v>
      </c>
      <c r="B104">
        <v>1</v>
      </c>
      <c r="C104">
        <v>2</v>
      </c>
      <c r="D104" s="162">
        <f t="shared" si="19"/>
        <v>3</v>
      </c>
      <c r="G104" s="161">
        <v>0.6</v>
      </c>
      <c r="I104">
        <v>2</v>
      </c>
      <c r="K104">
        <v>1</v>
      </c>
      <c r="L104" s="159">
        <f>SUM(H104:K104)</f>
        <v>3</v>
      </c>
    </row>
    <row r="105" spans="1:12" ht="15.75" thickBot="1">
      <c r="A105" s="161">
        <v>0.8</v>
      </c>
      <c r="B105">
        <v>38</v>
      </c>
      <c r="C105">
        <v>9</v>
      </c>
      <c r="D105" s="162">
        <f t="shared" si="19"/>
        <v>47</v>
      </c>
      <c r="G105" s="161">
        <v>0.7</v>
      </c>
      <c r="I105">
        <v>1</v>
      </c>
      <c r="J105">
        <v>1</v>
      </c>
      <c r="K105">
        <v>1</v>
      </c>
      <c r="L105" s="159">
        <f t="shared" ref="L105:L107" si="20">SUM(H105:K105)</f>
        <v>3</v>
      </c>
    </row>
    <row r="106" spans="1:12" ht="15.75" thickBot="1">
      <c r="A106" s="161">
        <v>0.9</v>
      </c>
      <c r="B106">
        <v>3</v>
      </c>
      <c r="D106" s="162">
        <f t="shared" si="19"/>
        <v>3</v>
      </c>
      <c r="G106" s="161">
        <v>0.8</v>
      </c>
      <c r="H106">
        <v>2</v>
      </c>
      <c r="I106">
        <v>20</v>
      </c>
      <c r="J106">
        <v>15</v>
      </c>
      <c r="K106">
        <v>10</v>
      </c>
      <c r="L106" s="159">
        <f t="shared" si="20"/>
        <v>47</v>
      </c>
    </row>
    <row r="107" spans="1:12" ht="15.75" thickBot="1">
      <c r="A107" s="153" t="s">
        <v>9</v>
      </c>
      <c r="B107" s="158">
        <f>SUM(B102:B106)</f>
        <v>48</v>
      </c>
      <c r="C107" s="158">
        <f>SUM(C102:C106)</f>
        <v>17</v>
      </c>
      <c r="D107" s="159">
        <f t="shared" si="19"/>
        <v>65</v>
      </c>
      <c r="G107" s="161">
        <v>0.9</v>
      </c>
      <c r="I107">
        <v>1</v>
      </c>
      <c r="J107">
        <v>2</v>
      </c>
      <c r="L107" s="159">
        <f t="shared" si="20"/>
        <v>3</v>
      </c>
    </row>
    <row r="108" spans="1:12" ht="15.75" thickBot="1">
      <c r="G108" s="153" t="s">
        <v>9</v>
      </c>
      <c r="H108" s="158">
        <f>SUM(H103:H107)</f>
        <v>2</v>
      </c>
      <c r="I108" s="158">
        <f>SUM(I103:I107)</f>
        <v>31</v>
      </c>
      <c r="J108" s="158">
        <f t="shared" ref="J108:K108" si="21">SUM(J103:J107)</f>
        <v>18</v>
      </c>
      <c r="K108" s="158">
        <f t="shared" si="21"/>
        <v>14</v>
      </c>
      <c r="L108" s="159">
        <f>SUM(H108:K108)</f>
        <v>65</v>
      </c>
    </row>
    <row r="117" spans="1:1" ht="15.75">
      <c r="A117" s="13" t="s">
        <v>345</v>
      </c>
    </row>
    <row r="138" spans="1:12" ht="15.75">
      <c r="A138" s="13" t="s">
        <v>346</v>
      </c>
    </row>
    <row r="139" spans="1:12" ht="15.75" thickBot="1">
      <c r="A139" t="s">
        <v>342</v>
      </c>
      <c r="G139" t="s">
        <v>343</v>
      </c>
    </row>
    <row r="140" spans="1:12" ht="15.75" thickBot="1">
      <c r="C140" s="165" t="s">
        <v>24</v>
      </c>
      <c r="D140" s="166" t="s">
        <v>25</v>
      </c>
      <c r="E140" s="167" t="s">
        <v>10</v>
      </c>
      <c r="H140" s="156" t="s">
        <v>73</v>
      </c>
      <c r="I140" s="156" t="s">
        <v>62</v>
      </c>
      <c r="J140" s="156" t="s">
        <v>63</v>
      </c>
      <c r="K140" s="157" t="s">
        <v>64</v>
      </c>
      <c r="L140" s="154" t="s">
        <v>9</v>
      </c>
    </row>
    <row r="141" spans="1:12" ht="15.75" thickBot="1">
      <c r="A141" s="144"/>
      <c r="B141" s="143" t="s">
        <v>6</v>
      </c>
      <c r="E141" s="160">
        <f>SUM(C141:D141)</f>
        <v>0</v>
      </c>
      <c r="G141" s="144" t="s">
        <v>339</v>
      </c>
      <c r="K141">
        <v>1</v>
      </c>
      <c r="L141" s="160">
        <f t="shared" ref="L141:L150" si="22">SUM(H141:K141)</f>
        <v>1</v>
      </c>
    </row>
    <row r="142" spans="1:12" ht="15.75" thickBot="1">
      <c r="A142" s="145" t="s">
        <v>210</v>
      </c>
      <c r="B142" s="143" t="s">
        <v>67</v>
      </c>
      <c r="C142">
        <v>6</v>
      </c>
      <c r="D142">
        <v>3</v>
      </c>
      <c r="E142" s="160">
        <f>SUM(C142:D142)</f>
        <v>9</v>
      </c>
      <c r="G142" s="144" t="s">
        <v>159</v>
      </c>
      <c r="I142">
        <v>2</v>
      </c>
      <c r="J142">
        <v>1</v>
      </c>
      <c r="K142">
        <v>1</v>
      </c>
      <c r="L142" s="160">
        <f t="shared" si="22"/>
        <v>4</v>
      </c>
    </row>
    <row r="143" spans="1:12" ht="15.75" thickBot="1">
      <c r="A143" s="146"/>
      <c r="B143" s="150" t="s">
        <v>10</v>
      </c>
      <c r="C143" s="149">
        <f>SUM(C141:C142)</f>
        <v>6</v>
      </c>
      <c r="D143" s="152">
        <f t="shared" ref="D143:E143" si="23">SUM(D141:D142)</f>
        <v>3</v>
      </c>
      <c r="E143" s="160">
        <f t="shared" si="23"/>
        <v>9</v>
      </c>
      <c r="G143" s="144" t="s">
        <v>160</v>
      </c>
      <c r="J143">
        <v>1</v>
      </c>
      <c r="K143">
        <v>2</v>
      </c>
      <c r="L143" s="160">
        <f t="shared" si="22"/>
        <v>3</v>
      </c>
    </row>
    <row r="144" spans="1:12" ht="15.75" thickBot="1">
      <c r="A144" s="144"/>
      <c r="B144" s="147" t="s">
        <v>6</v>
      </c>
      <c r="E144" s="160">
        <f>SUM(C144:D144)</f>
        <v>0</v>
      </c>
      <c r="G144" s="144" t="s">
        <v>161</v>
      </c>
      <c r="I144">
        <v>2</v>
      </c>
      <c r="K144">
        <v>1</v>
      </c>
      <c r="L144" s="160">
        <f t="shared" si="22"/>
        <v>3</v>
      </c>
    </row>
    <row r="145" spans="1:12" ht="15.75" thickBot="1">
      <c r="A145" s="145" t="s">
        <v>5</v>
      </c>
      <c r="B145" s="143" t="s">
        <v>67</v>
      </c>
      <c r="C145">
        <v>18</v>
      </c>
      <c r="D145">
        <v>6</v>
      </c>
      <c r="E145" s="160">
        <f>SUM(C145:D145)</f>
        <v>24</v>
      </c>
      <c r="G145" s="144" t="s">
        <v>162</v>
      </c>
      <c r="I145">
        <v>1</v>
      </c>
      <c r="J145">
        <v>2</v>
      </c>
      <c r="K145">
        <v>4</v>
      </c>
      <c r="L145" s="160">
        <f t="shared" si="22"/>
        <v>7</v>
      </c>
    </row>
    <row r="146" spans="1:12" ht="15.75" thickBot="1">
      <c r="A146" s="146"/>
      <c r="B146" s="150" t="s">
        <v>10</v>
      </c>
      <c r="C146" s="149">
        <f>SUM(C144:C145)</f>
        <v>18</v>
      </c>
      <c r="D146" s="152">
        <f t="shared" ref="D146:E146" si="24">SUM(D144:D145)</f>
        <v>6</v>
      </c>
      <c r="E146" s="160">
        <f t="shared" si="24"/>
        <v>24</v>
      </c>
      <c r="G146" s="144" t="s">
        <v>163</v>
      </c>
      <c r="I146">
        <v>4</v>
      </c>
      <c r="K146">
        <v>1</v>
      </c>
      <c r="L146" s="160">
        <f t="shared" si="22"/>
        <v>5</v>
      </c>
    </row>
    <row r="147" spans="1:12" ht="15.75" thickBot="1">
      <c r="A147" s="666" t="s">
        <v>10</v>
      </c>
      <c r="B147" s="666"/>
      <c r="C147" s="151">
        <f>SUM(C146,C143)</f>
        <v>24</v>
      </c>
      <c r="D147" s="151">
        <f t="shared" ref="D147:E147" si="25">SUM(D146,D143)</f>
        <v>9</v>
      </c>
      <c r="E147" s="160">
        <f t="shared" si="25"/>
        <v>33</v>
      </c>
      <c r="G147" s="144" t="s">
        <v>164</v>
      </c>
      <c r="I147">
        <v>3</v>
      </c>
      <c r="K147">
        <v>1</v>
      </c>
      <c r="L147" s="160">
        <f t="shared" si="22"/>
        <v>4</v>
      </c>
    </row>
    <row r="148" spans="1:12" ht="15.75" thickBot="1">
      <c r="G148" s="144" t="s">
        <v>165</v>
      </c>
      <c r="J148">
        <v>1</v>
      </c>
      <c r="L148" s="160">
        <f t="shared" si="22"/>
        <v>1</v>
      </c>
    </row>
    <row r="149" spans="1:12" ht="15.75" thickBot="1">
      <c r="G149" s="144" t="s">
        <v>166</v>
      </c>
      <c r="H149">
        <v>1</v>
      </c>
      <c r="I149">
        <v>3</v>
      </c>
      <c r="K149">
        <v>1</v>
      </c>
      <c r="L149" s="160">
        <f t="shared" si="22"/>
        <v>5</v>
      </c>
    </row>
    <row r="150" spans="1:12" ht="15.75" thickBot="1">
      <c r="G150" s="144" t="s">
        <v>175</v>
      </c>
      <c r="L150" s="160">
        <f t="shared" si="22"/>
        <v>0</v>
      </c>
    </row>
    <row r="151" spans="1:12" ht="15.75" thickBot="1">
      <c r="G151" s="153" t="s">
        <v>9</v>
      </c>
      <c r="H151" s="158">
        <f>SUM(H141:H150)</f>
        <v>1</v>
      </c>
      <c r="I151" s="158">
        <f>SUM(I141:I150)</f>
        <v>15</v>
      </c>
      <c r="J151" s="158">
        <f t="shared" ref="J151:K151" si="26">SUM(J141:J150)</f>
        <v>5</v>
      </c>
      <c r="K151" s="158">
        <f t="shared" si="26"/>
        <v>12</v>
      </c>
      <c r="L151" s="160">
        <f>SUM(H151:K151)</f>
        <v>33</v>
      </c>
    </row>
    <row r="152" spans="1:12" ht="15.75" thickBot="1"/>
    <row r="153" spans="1:12" ht="15.75" thickBot="1">
      <c r="B153" s="164" t="s">
        <v>24</v>
      </c>
      <c r="C153" s="164" t="s">
        <v>25</v>
      </c>
      <c r="D153" s="153" t="s">
        <v>9</v>
      </c>
    </row>
    <row r="154" spans="1:12" ht="15.75" thickBot="1">
      <c r="A154" s="161">
        <v>0.5</v>
      </c>
      <c r="B154">
        <v>19</v>
      </c>
      <c r="C154">
        <v>6</v>
      </c>
      <c r="D154" s="163">
        <f>SUM(B154:C154)</f>
        <v>25</v>
      </c>
      <c r="H154" s="164" t="s">
        <v>73</v>
      </c>
      <c r="I154" s="164" t="s">
        <v>62</v>
      </c>
      <c r="J154" s="164" t="s">
        <v>63</v>
      </c>
      <c r="K154" s="164" t="s">
        <v>64</v>
      </c>
      <c r="L154" s="153" t="s">
        <v>9</v>
      </c>
    </row>
    <row r="155" spans="1:12" ht="15.75" thickBot="1">
      <c r="A155" s="161">
        <v>0.6</v>
      </c>
      <c r="B155">
        <v>1</v>
      </c>
      <c r="C155">
        <v>2</v>
      </c>
      <c r="D155" s="162">
        <f t="shared" ref="D155:D159" si="27">SUM(B155:C155)</f>
        <v>3</v>
      </c>
      <c r="G155" s="161">
        <v>0.5</v>
      </c>
      <c r="I155">
        <v>14</v>
      </c>
      <c r="J155">
        <v>2</v>
      </c>
      <c r="K155">
        <v>9</v>
      </c>
      <c r="L155" s="159">
        <f>SUM(H155:K155)</f>
        <v>25</v>
      </c>
    </row>
    <row r="156" spans="1:12" ht="15.75" thickBot="1">
      <c r="A156" s="161">
        <v>0.7</v>
      </c>
      <c r="B156">
        <v>4</v>
      </c>
      <c r="C156">
        <v>1</v>
      </c>
      <c r="D156" s="162">
        <f t="shared" si="27"/>
        <v>5</v>
      </c>
      <c r="G156" s="161">
        <v>0.6</v>
      </c>
      <c r="H156">
        <v>1</v>
      </c>
      <c r="K156">
        <v>2</v>
      </c>
      <c r="L156" s="159">
        <f>SUM(H156:K156)</f>
        <v>3</v>
      </c>
    </row>
    <row r="157" spans="1:12" ht="15.75" thickBot="1">
      <c r="A157" s="161">
        <v>0.8</v>
      </c>
      <c r="D157" s="162">
        <f t="shared" si="27"/>
        <v>0</v>
      </c>
      <c r="G157" s="161">
        <v>0.7</v>
      </c>
      <c r="I157">
        <v>1</v>
      </c>
      <c r="J157">
        <v>3</v>
      </c>
      <c r="K157">
        <v>1</v>
      </c>
      <c r="L157" s="159">
        <f t="shared" ref="L157:L159" si="28">SUM(H157:K157)</f>
        <v>5</v>
      </c>
    </row>
    <row r="158" spans="1:12" ht="15.75" thickBot="1">
      <c r="A158" s="161">
        <v>0.9</v>
      </c>
      <c r="D158" s="162">
        <f t="shared" si="27"/>
        <v>0</v>
      </c>
      <c r="G158" s="161">
        <v>0.8</v>
      </c>
      <c r="L158" s="159">
        <f t="shared" si="28"/>
        <v>0</v>
      </c>
    </row>
    <row r="159" spans="1:12" ht="15.75" thickBot="1">
      <c r="A159" s="153" t="s">
        <v>9</v>
      </c>
      <c r="B159" s="158">
        <f>SUM(B154:B158)</f>
        <v>24</v>
      </c>
      <c r="C159" s="158">
        <f>SUM(C154:C158)</f>
        <v>9</v>
      </c>
      <c r="D159" s="159">
        <f t="shared" si="27"/>
        <v>33</v>
      </c>
      <c r="G159" s="161">
        <v>0.9</v>
      </c>
      <c r="L159" s="159">
        <f t="shared" si="28"/>
        <v>0</v>
      </c>
    </row>
    <row r="160" spans="1:12" ht="15.75" thickBot="1">
      <c r="G160" s="153" t="s">
        <v>9</v>
      </c>
      <c r="H160" s="158">
        <f>SUM(H155:H159)</f>
        <v>1</v>
      </c>
      <c r="I160" s="158">
        <f>SUM(I155:I159)</f>
        <v>15</v>
      </c>
      <c r="J160" s="158">
        <f t="shared" ref="J160:K160" si="29">SUM(J155:J159)</f>
        <v>5</v>
      </c>
      <c r="K160" s="158">
        <f t="shared" si="29"/>
        <v>12</v>
      </c>
      <c r="L160" s="159">
        <f>SUM(H160:K160)</f>
        <v>33</v>
      </c>
    </row>
    <row r="169" spans="1:1" ht="15.75">
      <c r="A169" s="13" t="s">
        <v>346</v>
      </c>
    </row>
  </sheetData>
  <mergeCells count="4">
    <mergeCell ref="A10:B10"/>
    <mergeCell ref="A42:B42"/>
    <mergeCell ref="A95:B95"/>
    <mergeCell ref="A147:B147"/>
  </mergeCells>
  <pageMargins left="0.7" right="0.7" top="0.75" bottom="0.75" header="0.3" footer="0.3"/>
  <pageSetup paperSize="9" orientation="landscape" horizontalDpi="4294967293" r:id="rId1"/>
  <headerFooter>
    <oddHeader>&amp;C&amp;"-,Gras"Chapitre V - Organisation
1. Temps de travail</oddHeader>
    <oddFooter>&amp;C&amp;"-,Gras"Base de Données Sociales 2023&amp;R&amp;P</oddFooter>
  </headerFooter>
  <rowBreaks count="6" manualBreakCount="6">
    <brk id="31" max="16383" man="1"/>
    <brk id="63" max="16383" man="1"/>
    <brk id="85" max="16383" man="1"/>
    <brk id="116" max="16383" man="1"/>
    <brk id="137" max="16383" man="1"/>
    <brk id="16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0006-0D87-40AB-9D5F-1E6FE563F75F}">
  <sheetPr codeName="Feuil19">
    <tabColor rgb="FF92D050"/>
  </sheetPr>
  <dimension ref="A1:K29"/>
  <sheetViews>
    <sheetView showGridLines="0" view="pageLayout" topLeftCell="A16" zoomScaleNormal="100" workbookViewId="0">
      <selection activeCell="N41" sqref="N41"/>
    </sheetView>
  </sheetViews>
  <sheetFormatPr baseColWidth="10" defaultRowHeight="15"/>
  <sheetData>
    <row r="1" spans="1:11" ht="15.75">
      <c r="A1" s="13" t="s">
        <v>651</v>
      </c>
    </row>
    <row r="2" spans="1:11">
      <c r="A2" s="667" t="s">
        <v>347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</row>
    <row r="3" spans="1:11" ht="15.75" thickBot="1">
      <c r="A3" s="667"/>
      <c r="B3" s="667"/>
      <c r="C3" s="667"/>
      <c r="D3" s="667"/>
      <c r="E3" s="667"/>
      <c r="F3" s="667"/>
      <c r="G3" s="667"/>
      <c r="H3" s="667"/>
      <c r="I3" s="667"/>
      <c r="J3" s="667"/>
      <c r="K3" s="667"/>
    </row>
    <row r="4" spans="1:11" ht="15.75" thickBot="1">
      <c r="B4" s="156" t="s">
        <v>24</v>
      </c>
      <c r="C4" s="157" t="s">
        <v>25</v>
      </c>
      <c r="D4" s="171" t="s">
        <v>9</v>
      </c>
      <c r="G4" s="164" t="s">
        <v>62</v>
      </c>
      <c r="H4" s="164" t="s">
        <v>63</v>
      </c>
      <c r="I4" s="164" t="s">
        <v>64</v>
      </c>
      <c r="J4" s="153" t="s">
        <v>9</v>
      </c>
    </row>
    <row r="5" spans="1:11" ht="15.75" thickBot="1">
      <c r="A5" s="168">
        <v>0.5</v>
      </c>
      <c r="B5" s="457">
        <v>84</v>
      </c>
      <c r="C5" s="272">
        <v>22</v>
      </c>
      <c r="D5" s="536">
        <f t="shared" ref="D5:D14" si="0">SUM(B5:C5)</f>
        <v>106</v>
      </c>
      <c r="F5" s="168">
        <v>0.5</v>
      </c>
      <c r="G5" s="283">
        <v>34</v>
      </c>
      <c r="H5" s="283">
        <v>36</v>
      </c>
      <c r="I5" s="283">
        <v>36</v>
      </c>
      <c r="J5" s="172">
        <f t="shared" ref="J5:J15" si="1">SUM(G5:I5)</f>
        <v>106</v>
      </c>
    </row>
    <row r="6" spans="1:11" ht="15.75" thickBot="1">
      <c r="A6" s="168">
        <v>1</v>
      </c>
      <c r="B6" s="457">
        <v>74</v>
      </c>
      <c r="C6" s="272">
        <v>18</v>
      </c>
      <c r="D6" s="536">
        <f t="shared" si="0"/>
        <v>92</v>
      </c>
      <c r="F6" s="168">
        <v>1</v>
      </c>
      <c r="G6" s="283">
        <v>33</v>
      </c>
      <c r="H6" s="283">
        <v>26</v>
      </c>
      <c r="I6" s="283">
        <v>33</v>
      </c>
      <c r="J6" s="172">
        <f t="shared" si="1"/>
        <v>92</v>
      </c>
    </row>
    <row r="7" spans="1:11" ht="15.75" thickBot="1">
      <c r="A7" s="168">
        <v>1.5</v>
      </c>
      <c r="B7" s="457">
        <v>63</v>
      </c>
      <c r="C7" s="272">
        <v>29</v>
      </c>
      <c r="D7" s="536">
        <f t="shared" si="0"/>
        <v>92</v>
      </c>
      <c r="F7" s="168">
        <v>1.5</v>
      </c>
      <c r="G7" s="283">
        <v>44</v>
      </c>
      <c r="H7" s="283">
        <v>35</v>
      </c>
      <c r="I7" s="283">
        <v>13</v>
      </c>
      <c r="J7" s="172">
        <f t="shared" si="1"/>
        <v>92</v>
      </c>
    </row>
    <row r="8" spans="1:11" ht="15.75" thickBot="1">
      <c r="A8" s="168">
        <v>2</v>
      </c>
      <c r="B8" s="457">
        <v>70</v>
      </c>
      <c r="C8" s="272">
        <v>18</v>
      </c>
      <c r="D8" s="536">
        <f t="shared" si="0"/>
        <v>88</v>
      </c>
      <c r="F8" s="168">
        <v>2</v>
      </c>
      <c r="G8" s="283">
        <v>34</v>
      </c>
      <c r="H8" s="283">
        <v>25</v>
      </c>
      <c r="I8" s="283">
        <v>29</v>
      </c>
      <c r="J8" s="172">
        <f t="shared" si="1"/>
        <v>88</v>
      </c>
    </row>
    <row r="9" spans="1:11" ht="15.75" thickBot="1">
      <c r="A9" s="168">
        <v>2.5</v>
      </c>
      <c r="B9" s="457">
        <v>2</v>
      </c>
      <c r="C9" s="457">
        <v>2</v>
      </c>
      <c r="D9" s="536">
        <f>SUM(B9:C9)</f>
        <v>4</v>
      </c>
      <c r="F9" s="168">
        <v>2.5</v>
      </c>
      <c r="G9" s="283">
        <v>2</v>
      </c>
      <c r="H9" s="283">
        <v>2</v>
      </c>
      <c r="I9" s="283"/>
      <c r="J9" s="172">
        <f t="shared" si="1"/>
        <v>4</v>
      </c>
    </row>
    <row r="10" spans="1:11" ht="15.75" thickBot="1">
      <c r="A10" s="168">
        <v>3</v>
      </c>
      <c r="B10" s="457">
        <v>1</v>
      </c>
      <c r="C10" s="457">
        <v>2</v>
      </c>
      <c r="D10" s="536">
        <f>SUM(B10:C10)</f>
        <v>3</v>
      </c>
      <c r="F10" s="168">
        <v>3</v>
      </c>
      <c r="G10" s="283">
        <v>2</v>
      </c>
      <c r="H10" s="283">
        <v>1</v>
      </c>
      <c r="I10" s="283"/>
      <c r="J10" s="172">
        <f t="shared" si="1"/>
        <v>3</v>
      </c>
    </row>
    <row r="11" spans="1:11" ht="15.75" thickBot="1">
      <c r="A11" s="168">
        <v>3.5</v>
      </c>
      <c r="B11" s="457"/>
      <c r="C11" s="457">
        <v>1</v>
      </c>
      <c r="D11" s="536">
        <f>SUM(B11:C11)</f>
        <v>1</v>
      </c>
      <c r="F11" s="168">
        <v>3.5</v>
      </c>
      <c r="G11" s="283">
        <v>1</v>
      </c>
      <c r="H11" s="283"/>
      <c r="I11" s="283"/>
      <c r="J11" s="172">
        <f t="shared" si="1"/>
        <v>1</v>
      </c>
    </row>
    <row r="12" spans="1:11" ht="15.75" thickBot="1">
      <c r="A12" s="168">
        <v>4</v>
      </c>
      <c r="B12" s="457"/>
      <c r="C12" s="457"/>
      <c r="D12" s="536">
        <f t="shared" si="0"/>
        <v>0</v>
      </c>
      <c r="F12" s="168">
        <v>4</v>
      </c>
      <c r="G12" s="283"/>
      <c r="H12" s="283"/>
      <c r="I12" s="283"/>
      <c r="J12" s="172">
        <f t="shared" si="1"/>
        <v>0</v>
      </c>
    </row>
    <row r="13" spans="1:11" ht="15.75" thickBot="1">
      <c r="A13" s="168">
        <v>4.5</v>
      </c>
      <c r="B13" s="457">
        <v>2</v>
      </c>
      <c r="C13" s="457">
        <v>1</v>
      </c>
      <c r="D13" s="536">
        <f t="shared" si="0"/>
        <v>3</v>
      </c>
      <c r="F13" s="168">
        <v>4.5</v>
      </c>
      <c r="G13" s="283">
        <v>1</v>
      </c>
      <c r="H13" s="283">
        <v>1</v>
      </c>
      <c r="I13" s="283">
        <v>1</v>
      </c>
      <c r="J13" s="172">
        <f t="shared" si="1"/>
        <v>3</v>
      </c>
    </row>
    <row r="14" spans="1:11" ht="15.75" thickBot="1">
      <c r="A14" s="168">
        <v>5</v>
      </c>
      <c r="B14" s="457">
        <v>1</v>
      </c>
      <c r="C14" s="457">
        <v>2</v>
      </c>
      <c r="D14" s="536">
        <f t="shared" si="0"/>
        <v>3</v>
      </c>
      <c r="F14" s="168">
        <v>5</v>
      </c>
      <c r="G14" s="283"/>
      <c r="H14" s="283">
        <v>1</v>
      </c>
      <c r="I14" s="283">
        <v>2</v>
      </c>
      <c r="J14" s="172">
        <f t="shared" si="1"/>
        <v>3</v>
      </c>
    </row>
    <row r="15" spans="1:11" ht="15.75" thickBot="1">
      <c r="A15" s="150" t="s">
        <v>9</v>
      </c>
      <c r="B15" s="172">
        <f>SUM(B5:B14)</f>
        <v>297</v>
      </c>
      <c r="C15" s="537">
        <f>SUM(C5:C14)</f>
        <v>95</v>
      </c>
      <c r="D15" s="172">
        <f>SUM(D5:D14)</f>
        <v>392</v>
      </c>
      <c r="F15" s="150" t="s">
        <v>9</v>
      </c>
      <c r="G15" s="172">
        <f>SUM(G5:G14)</f>
        <v>151</v>
      </c>
      <c r="H15" s="172">
        <f>SUM(H5:H14)</f>
        <v>127</v>
      </c>
      <c r="I15" s="172">
        <f>SUM(I5:I14)</f>
        <v>114</v>
      </c>
      <c r="J15" s="172">
        <f t="shared" si="1"/>
        <v>392</v>
      </c>
    </row>
    <row r="17" spans="1:4" ht="15.75" thickBot="1"/>
    <row r="18" spans="1:4" ht="15.75" thickBot="1">
      <c r="B18" s="156" t="s">
        <v>24</v>
      </c>
      <c r="C18" s="157" t="s">
        <v>25</v>
      </c>
      <c r="D18" s="171" t="s">
        <v>9</v>
      </c>
    </row>
    <row r="19" spans="1:4" ht="15.75" thickBot="1">
      <c r="A19" s="155" t="s">
        <v>339</v>
      </c>
      <c r="B19" s="457">
        <v>4</v>
      </c>
      <c r="C19" s="457">
        <v>1</v>
      </c>
      <c r="D19" s="536">
        <f>SUM(B19:C19)</f>
        <v>5</v>
      </c>
    </row>
    <row r="20" spans="1:4" ht="15.75" thickBot="1">
      <c r="A20" s="155" t="s">
        <v>159</v>
      </c>
      <c r="B20" s="457">
        <v>15</v>
      </c>
      <c r="C20" s="457">
        <v>10</v>
      </c>
      <c r="D20" s="536">
        <f t="shared" ref="D20:D28" si="2">SUM(B20:C20)</f>
        <v>25</v>
      </c>
    </row>
    <row r="21" spans="1:4" ht="15.75" thickBot="1">
      <c r="A21" s="155" t="s">
        <v>160</v>
      </c>
      <c r="B21" s="457">
        <v>23</v>
      </c>
      <c r="C21" s="457">
        <v>10</v>
      </c>
      <c r="D21" s="536">
        <f t="shared" si="2"/>
        <v>33</v>
      </c>
    </row>
    <row r="22" spans="1:4" ht="15.75" thickBot="1">
      <c r="A22" s="155" t="s">
        <v>161</v>
      </c>
      <c r="B22" s="457">
        <v>35</v>
      </c>
      <c r="C22" s="457">
        <v>9</v>
      </c>
      <c r="D22" s="536">
        <f t="shared" si="2"/>
        <v>44</v>
      </c>
    </row>
    <row r="23" spans="1:4" ht="15.75" thickBot="1">
      <c r="A23" s="155" t="s">
        <v>162</v>
      </c>
      <c r="B23" s="457">
        <v>44</v>
      </c>
      <c r="C23" s="457">
        <v>15</v>
      </c>
      <c r="D23" s="536">
        <f t="shared" si="2"/>
        <v>59</v>
      </c>
    </row>
    <row r="24" spans="1:4" ht="15.75" thickBot="1">
      <c r="A24" s="155" t="s">
        <v>163</v>
      </c>
      <c r="B24" s="457">
        <v>46</v>
      </c>
      <c r="C24" s="457">
        <v>10</v>
      </c>
      <c r="D24" s="536">
        <f t="shared" si="2"/>
        <v>56</v>
      </c>
    </row>
    <row r="25" spans="1:4" ht="15.75" thickBot="1">
      <c r="A25" s="155" t="s">
        <v>164</v>
      </c>
      <c r="B25" s="457">
        <v>63</v>
      </c>
      <c r="C25" s="457">
        <v>19</v>
      </c>
      <c r="D25" s="536">
        <f t="shared" si="2"/>
        <v>82</v>
      </c>
    </row>
    <row r="26" spans="1:4" ht="15.75" thickBot="1">
      <c r="A26" s="155" t="s">
        <v>165</v>
      </c>
      <c r="B26" s="457">
        <v>34</v>
      </c>
      <c r="C26" s="457">
        <v>15</v>
      </c>
      <c r="D26" s="536">
        <f t="shared" si="2"/>
        <v>49</v>
      </c>
    </row>
    <row r="27" spans="1:4" ht="15.75" thickBot="1">
      <c r="A27" s="155" t="s">
        <v>340</v>
      </c>
      <c r="B27" s="457">
        <v>31</v>
      </c>
      <c r="C27" s="457">
        <v>6</v>
      </c>
      <c r="D27" s="536">
        <f t="shared" si="2"/>
        <v>37</v>
      </c>
    </row>
    <row r="28" spans="1:4" ht="15.75" thickBot="1">
      <c r="A28" s="155" t="s">
        <v>175</v>
      </c>
      <c r="B28" s="457">
        <v>2</v>
      </c>
      <c r="C28" s="457"/>
      <c r="D28" s="536">
        <f t="shared" si="2"/>
        <v>2</v>
      </c>
    </row>
    <row r="29" spans="1:4" ht="15.75" thickBot="1">
      <c r="A29" s="153" t="s">
        <v>9</v>
      </c>
      <c r="B29" s="172">
        <f>SUM(B19:B28)</f>
        <v>297</v>
      </c>
      <c r="C29" s="172">
        <f>SUM(C19:C28)</f>
        <v>95</v>
      </c>
      <c r="D29" s="172">
        <f>SUM(D19:D28)</f>
        <v>392</v>
      </c>
    </row>
  </sheetData>
  <mergeCells count="1">
    <mergeCell ref="A2:K3"/>
  </mergeCells>
  <pageMargins left="0.7" right="0.7" top="0.75" bottom="0.75" header="0.3" footer="0.3"/>
  <pageSetup paperSize="9" orientation="landscape" horizontalDpi="4294967293" r:id="rId1"/>
  <headerFooter>
    <oddHeader>&amp;C&amp;"-,Gras"Chapitre V - Organisation
2. Télétravail</oddHeader>
    <oddFooter>&amp;C&amp;"-,Gras"Base de Données Sociales 2023&amp;R&amp;P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FF5F-20BB-4255-AAE0-2CAF382BF001}">
  <sheetPr codeName="Feuil20">
    <tabColor rgb="FF92D050"/>
  </sheetPr>
  <dimension ref="B1:P84"/>
  <sheetViews>
    <sheetView showGridLines="0" view="pageLayout" zoomScale="59" zoomScaleNormal="100" zoomScaleSheetLayoutView="30" zoomScalePageLayoutView="59" workbookViewId="0">
      <selection activeCell="O33" sqref="O33"/>
    </sheetView>
  </sheetViews>
  <sheetFormatPr baseColWidth="10" defaultRowHeight="15"/>
  <cols>
    <col min="1" max="1" width="1.28515625" customWidth="1"/>
    <col min="2" max="2" width="22.7109375" customWidth="1"/>
    <col min="3" max="3" width="17" customWidth="1"/>
    <col min="4" max="4" width="10" style="313" customWidth="1"/>
    <col min="5" max="5" width="8.140625" style="313" customWidth="1"/>
    <col min="6" max="6" width="8.140625" customWidth="1"/>
    <col min="8" max="8" width="7.5703125" customWidth="1"/>
    <col min="9" max="9" width="23.42578125" customWidth="1"/>
    <col min="10" max="10" width="9.5703125" style="313" customWidth="1"/>
    <col min="11" max="11" width="9.140625" style="313" customWidth="1"/>
    <col min="14" max="14" width="8.85546875" customWidth="1"/>
    <col min="16" max="16" width="3.85546875" customWidth="1"/>
  </cols>
  <sheetData>
    <row r="1" spans="2:13" ht="15.75">
      <c r="B1" s="13" t="s">
        <v>287</v>
      </c>
    </row>
    <row r="2" spans="2:13">
      <c r="B2" s="173" t="s">
        <v>352</v>
      </c>
      <c r="I2" s="173" t="s">
        <v>351</v>
      </c>
      <c r="J2"/>
      <c r="L2" s="313"/>
    </row>
    <row r="3" spans="2:13" ht="6.75" customHeight="1" thickBot="1">
      <c r="B3" s="173"/>
      <c r="I3" s="173"/>
      <c r="J3"/>
      <c r="L3" s="313"/>
    </row>
    <row r="4" spans="2:13" ht="15.75" thickBot="1">
      <c r="D4" s="156" t="s">
        <v>24</v>
      </c>
      <c r="E4" s="157" t="s">
        <v>25</v>
      </c>
      <c r="F4" s="171" t="s">
        <v>9</v>
      </c>
      <c r="J4"/>
      <c r="K4" s="156" t="s">
        <v>24</v>
      </c>
      <c r="L4" s="157" t="s">
        <v>25</v>
      </c>
      <c r="M4" s="266" t="s">
        <v>9</v>
      </c>
    </row>
    <row r="5" spans="2:13" ht="15.75" thickBot="1">
      <c r="B5" s="668" t="s">
        <v>498</v>
      </c>
      <c r="C5" s="156" t="s">
        <v>62</v>
      </c>
      <c r="D5" s="313">
        <v>15</v>
      </c>
      <c r="F5" s="172">
        <f>SUM(D5:E5)</f>
        <v>15</v>
      </c>
      <c r="I5" s="668" t="s">
        <v>498</v>
      </c>
      <c r="J5" s="156" t="s">
        <v>62</v>
      </c>
      <c r="K5" s="313">
        <v>1311</v>
      </c>
      <c r="L5" s="313"/>
      <c r="M5" s="172">
        <f>SUM(K5:L5)</f>
        <v>1311</v>
      </c>
    </row>
    <row r="6" spans="2:13" ht="15.75" thickBot="1">
      <c r="B6" s="669"/>
      <c r="C6" s="156" t="s">
        <v>63</v>
      </c>
      <c r="D6" s="313">
        <v>4</v>
      </c>
      <c r="F6" s="172">
        <f t="shared" ref="F6:F7" si="0">SUM(D6:E6)</f>
        <v>4</v>
      </c>
      <c r="I6" s="669"/>
      <c r="J6" s="156" t="s">
        <v>63</v>
      </c>
      <c r="K6" s="313">
        <v>258</v>
      </c>
      <c r="L6" s="313"/>
      <c r="M6" s="172">
        <f t="shared" ref="M6:M7" si="1">SUM(K6:L6)</f>
        <v>258</v>
      </c>
    </row>
    <row r="7" spans="2:13" ht="15.75" thickBot="1">
      <c r="B7" s="669"/>
      <c r="C7" s="156" t="s">
        <v>64</v>
      </c>
      <c r="D7" s="313">
        <v>11</v>
      </c>
      <c r="F7" s="172">
        <f t="shared" si="0"/>
        <v>11</v>
      </c>
      <c r="I7" s="669"/>
      <c r="J7" s="156" t="s">
        <v>64</v>
      </c>
      <c r="K7" s="313">
        <v>358</v>
      </c>
      <c r="L7" s="313"/>
      <c r="M7" s="172">
        <f t="shared" si="1"/>
        <v>358</v>
      </c>
    </row>
    <row r="8" spans="2:13" ht="15.75" thickBot="1">
      <c r="B8" s="670"/>
      <c r="C8" s="171" t="s">
        <v>9</v>
      </c>
      <c r="D8" s="172">
        <f>SUM(D5:D7)</f>
        <v>30</v>
      </c>
      <c r="E8" s="172">
        <f>SUM(E5:E7)</f>
        <v>0</v>
      </c>
      <c r="F8" s="172">
        <f>SUM(F5:F7)</f>
        <v>30</v>
      </c>
      <c r="I8" s="670"/>
      <c r="J8" s="266" t="s">
        <v>9</v>
      </c>
      <c r="K8" s="172">
        <f>SUM(K5:K7)</f>
        <v>1927</v>
      </c>
      <c r="L8" s="172">
        <f>SUM(L5:L7)</f>
        <v>0</v>
      </c>
      <c r="M8" s="172">
        <f>SUM(M5:M7)</f>
        <v>1927</v>
      </c>
    </row>
    <row r="9" spans="2:13" ht="15.75" thickBot="1">
      <c r="B9" s="668" t="s">
        <v>348</v>
      </c>
      <c r="C9" s="156" t="s">
        <v>62</v>
      </c>
      <c r="F9" s="172">
        <f>SUM(D9:E9)</f>
        <v>0</v>
      </c>
      <c r="I9" s="668" t="s">
        <v>348</v>
      </c>
      <c r="J9" s="156" t="s">
        <v>62</v>
      </c>
      <c r="L9" s="313"/>
      <c r="M9" s="172">
        <f>SUM(K9:L9)</f>
        <v>0</v>
      </c>
    </row>
    <row r="10" spans="2:13" ht="15.75" thickBot="1">
      <c r="B10" s="669"/>
      <c r="C10" s="156" t="s">
        <v>63</v>
      </c>
      <c r="D10" s="313">
        <v>1</v>
      </c>
      <c r="F10" s="172">
        <f t="shared" ref="F10:F11" si="2">SUM(D10:E10)</f>
        <v>1</v>
      </c>
      <c r="I10" s="669"/>
      <c r="J10" s="156" t="s">
        <v>63</v>
      </c>
      <c r="K10" s="313">
        <v>61</v>
      </c>
      <c r="L10" s="313"/>
      <c r="M10" s="172">
        <f t="shared" ref="M10:M11" si="3">SUM(K10:L10)</f>
        <v>61</v>
      </c>
    </row>
    <row r="11" spans="2:13" ht="15.75" customHeight="1" thickBot="1">
      <c r="B11" s="669"/>
      <c r="C11" s="156" t="s">
        <v>64</v>
      </c>
      <c r="D11" s="313">
        <v>1</v>
      </c>
      <c r="F11" s="172">
        <f t="shared" si="2"/>
        <v>1</v>
      </c>
      <c r="I11" s="669"/>
      <c r="J11" s="156" t="s">
        <v>64</v>
      </c>
      <c r="K11" s="313">
        <v>92</v>
      </c>
      <c r="L11" s="313"/>
      <c r="M11" s="172">
        <f t="shared" si="3"/>
        <v>92</v>
      </c>
    </row>
    <row r="12" spans="2:13" ht="15.75" thickBot="1">
      <c r="B12" s="670"/>
      <c r="C12" s="266" t="s">
        <v>9</v>
      </c>
      <c r="D12" s="172">
        <f>SUM(D9:D11)</f>
        <v>2</v>
      </c>
      <c r="E12" s="172">
        <f>SUM(E9:E11)</f>
        <v>0</v>
      </c>
      <c r="F12" s="172">
        <f>SUM(F9:F11)</f>
        <v>2</v>
      </c>
      <c r="I12" s="670"/>
      <c r="J12" s="266" t="s">
        <v>9</v>
      </c>
      <c r="K12" s="172">
        <f>SUM(K9:K11)</f>
        <v>153</v>
      </c>
      <c r="L12" s="172">
        <f>SUM(L9:L11)</f>
        <v>0</v>
      </c>
      <c r="M12" s="172">
        <f>SUM(M9:M11)</f>
        <v>153</v>
      </c>
    </row>
    <row r="13" spans="2:13" ht="24.75" customHeight="1" thickBot="1">
      <c r="B13" s="668" t="s">
        <v>349</v>
      </c>
      <c r="C13" s="156" t="s">
        <v>62</v>
      </c>
      <c r="D13" s="313">
        <v>1</v>
      </c>
      <c r="E13" s="313">
        <v>16</v>
      </c>
      <c r="F13" s="172">
        <f>SUM(D13:E13)</f>
        <v>17</v>
      </c>
      <c r="I13" s="668" t="s">
        <v>349</v>
      </c>
      <c r="J13" s="156" t="s">
        <v>62</v>
      </c>
      <c r="K13" s="313">
        <v>25</v>
      </c>
      <c r="L13" s="313">
        <f>327+25</f>
        <v>352</v>
      </c>
      <c r="M13" s="172">
        <f>SUM(K13:L13)</f>
        <v>377</v>
      </c>
    </row>
    <row r="14" spans="2:13" ht="15.75" customHeight="1" thickBot="1">
      <c r="B14" s="669"/>
      <c r="C14" s="156" t="s">
        <v>63</v>
      </c>
      <c r="E14" s="313">
        <v>2</v>
      </c>
      <c r="F14" s="172">
        <f t="shared" ref="F14:F15" si="4">SUM(D14:E14)</f>
        <v>2</v>
      </c>
      <c r="I14" s="669"/>
      <c r="J14" s="156" t="s">
        <v>63</v>
      </c>
      <c r="L14" s="313">
        <v>49</v>
      </c>
      <c r="M14" s="172">
        <f t="shared" ref="M14:M15" si="5">SUM(K14:L14)</f>
        <v>49</v>
      </c>
    </row>
    <row r="15" spans="2:13" ht="15.75" customHeight="1" thickBot="1">
      <c r="B15" s="669"/>
      <c r="C15" s="156" t="s">
        <v>64</v>
      </c>
      <c r="E15" s="313">
        <v>1</v>
      </c>
      <c r="F15" s="172">
        <f t="shared" si="4"/>
        <v>1</v>
      </c>
      <c r="I15" s="669"/>
      <c r="J15" s="156" t="s">
        <v>64</v>
      </c>
      <c r="L15" s="313">
        <v>28</v>
      </c>
      <c r="M15" s="172">
        <f t="shared" si="5"/>
        <v>28</v>
      </c>
    </row>
    <row r="16" spans="2:13" ht="15.75" thickBot="1">
      <c r="B16" s="670"/>
      <c r="C16" s="266" t="s">
        <v>9</v>
      </c>
      <c r="D16" s="172">
        <f>SUM(D13:D15)</f>
        <v>1</v>
      </c>
      <c r="E16" s="172">
        <f>SUM(E13:E15)</f>
        <v>19</v>
      </c>
      <c r="F16" s="172">
        <f>SUM(F13:F15)</f>
        <v>20</v>
      </c>
      <c r="I16" s="670"/>
      <c r="J16" s="266" t="s">
        <v>9</v>
      </c>
      <c r="K16" s="172">
        <f>SUM(K13:K15)</f>
        <v>25</v>
      </c>
      <c r="L16" s="172">
        <f>SUM(L13:L15)</f>
        <v>429</v>
      </c>
      <c r="M16" s="172">
        <f>SUM(M13:M15)</f>
        <v>454</v>
      </c>
    </row>
    <row r="17" spans="2:13" ht="15.75" customHeight="1" thickBot="1">
      <c r="B17" s="668" t="s">
        <v>350</v>
      </c>
      <c r="C17" s="156" t="s">
        <v>62</v>
      </c>
      <c r="D17" s="313">
        <v>2</v>
      </c>
      <c r="F17" s="172">
        <f>SUM(D17:E17)</f>
        <v>2</v>
      </c>
      <c r="I17" s="668" t="s">
        <v>350</v>
      </c>
      <c r="J17" s="156" t="s">
        <v>62</v>
      </c>
      <c r="K17" s="313">
        <v>20.5</v>
      </c>
      <c r="L17" s="313"/>
      <c r="M17" s="172">
        <f>SUM(K17:L17)</f>
        <v>20.5</v>
      </c>
    </row>
    <row r="18" spans="2:13" ht="15.75" thickBot="1">
      <c r="B18" s="669"/>
      <c r="C18" s="156" t="s">
        <v>63</v>
      </c>
      <c r="D18" s="313">
        <v>2</v>
      </c>
      <c r="F18" s="172">
        <f t="shared" ref="F18:F19" si="6">SUM(D18:E18)</f>
        <v>2</v>
      </c>
      <c r="I18" s="669"/>
      <c r="J18" s="156" t="s">
        <v>63</v>
      </c>
      <c r="K18" s="313">
        <v>297.5</v>
      </c>
      <c r="L18" s="313"/>
      <c r="M18" s="172">
        <f t="shared" ref="M18:M19" si="7">SUM(K18:L18)</f>
        <v>297.5</v>
      </c>
    </row>
    <row r="19" spans="2:13" ht="15.75" thickBot="1">
      <c r="B19" s="669"/>
      <c r="C19" s="156" t="s">
        <v>64</v>
      </c>
      <c r="D19" s="313">
        <v>1</v>
      </c>
      <c r="F19" s="172">
        <f t="shared" si="6"/>
        <v>1</v>
      </c>
      <c r="I19" s="669"/>
      <c r="J19" s="156" t="s">
        <v>64</v>
      </c>
      <c r="K19" s="313">
        <v>30</v>
      </c>
      <c r="L19" s="313"/>
      <c r="M19" s="172">
        <f t="shared" si="7"/>
        <v>30</v>
      </c>
    </row>
    <row r="20" spans="2:13" ht="15.75" thickBot="1">
      <c r="B20" s="670"/>
      <c r="C20" s="266" t="s">
        <v>9</v>
      </c>
      <c r="D20" s="172">
        <f>SUM(D17:D19)</f>
        <v>5</v>
      </c>
      <c r="E20" s="172">
        <f>SUM(E17:E19)</f>
        <v>0</v>
      </c>
      <c r="F20" s="172">
        <f>SUM(F17:F19)</f>
        <v>5</v>
      </c>
      <c r="I20" s="670"/>
      <c r="J20" s="266" t="s">
        <v>9</v>
      </c>
      <c r="K20" s="172">
        <f>SUM(K17:K19)</f>
        <v>348</v>
      </c>
      <c r="L20" s="172">
        <f>SUM(L17:L19)</f>
        <v>0</v>
      </c>
      <c r="M20" s="172">
        <f>SUM(M17:M19)</f>
        <v>348</v>
      </c>
    </row>
    <row r="21" spans="2:13" ht="15.75" thickBot="1">
      <c r="B21" s="668" t="s">
        <v>496</v>
      </c>
      <c r="C21" s="156" t="s">
        <v>62</v>
      </c>
      <c r="F21" s="172">
        <f>SUM(D21:E21)</f>
        <v>0</v>
      </c>
      <c r="I21" s="668" t="s">
        <v>496</v>
      </c>
      <c r="J21" s="156" t="s">
        <v>62</v>
      </c>
      <c r="L21" s="313"/>
      <c r="M21" s="172">
        <f>SUM(K21:L21)</f>
        <v>0</v>
      </c>
    </row>
    <row r="22" spans="2:13" ht="15.75" thickBot="1">
      <c r="B22" s="669"/>
      <c r="C22" s="156" t="s">
        <v>63</v>
      </c>
      <c r="F22" s="172">
        <f t="shared" ref="F22:F23" si="8">SUM(D22:E22)</f>
        <v>0</v>
      </c>
      <c r="I22" s="669"/>
      <c r="J22" s="156" t="s">
        <v>63</v>
      </c>
      <c r="L22" s="313"/>
      <c r="M22" s="172">
        <f t="shared" ref="M22:M23" si="9">SUM(K22:L22)</f>
        <v>0</v>
      </c>
    </row>
    <row r="23" spans="2:13" ht="15.75" thickBot="1">
      <c r="B23" s="669"/>
      <c r="C23" s="156" t="s">
        <v>64</v>
      </c>
      <c r="D23" s="313">
        <v>1</v>
      </c>
      <c r="F23" s="172">
        <f t="shared" si="8"/>
        <v>1</v>
      </c>
      <c r="I23" s="669"/>
      <c r="J23" s="156" t="s">
        <v>64</v>
      </c>
      <c r="K23" s="313">
        <v>31</v>
      </c>
      <c r="L23" s="313"/>
      <c r="M23" s="172">
        <f t="shared" si="9"/>
        <v>31</v>
      </c>
    </row>
    <row r="24" spans="2:13" ht="15.75" thickBot="1">
      <c r="B24" s="670"/>
      <c r="C24" s="266" t="s">
        <v>9</v>
      </c>
      <c r="D24" s="172">
        <f>SUM(D21:D23)</f>
        <v>1</v>
      </c>
      <c r="E24" s="172">
        <f>SUM(E21:E23)</f>
        <v>0</v>
      </c>
      <c r="F24" s="172">
        <f>SUM(F21:F23)</f>
        <v>1</v>
      </c>
      <c r="I24" s="670"/>
      <c r="J24" s="266" t="s">
        <v>9</v>
      </c>
      <c r="K24" s="172">
        <f>SUM(K21:K23)</f>
        <v>31</v>
      </c>
      <c r="L24" s="172">
        <f>SUM(L21:L23)</f>
        <v>0</v>
      </c>
      <c r="M24" s="172">
        <f>SUM(M21:M23)</f>
        <v>31</v>
      </c>
    </row>
    <row r="25" spans="2:13" ht="15.75" customHeight="1" thickBot="1">
      <c r="B25" s="668" t="s">
        <v>497</v>
      </c>
      <c r="C25" s="156" t="s">
        <v>62</v>
      </c>
      <c r="E25" s="313">
        <v>1</v>
      </c>
      <c r="F25" s="172">
        <f>SUM(D25:E25)</f>
        <v>1</v>
      </c>
      <c r="I25" s="668" t="s">
        <v>497</v>
      </c>
      <c r="J25" s="156" t="s">
        <v>62</v>
      </c>
      <c r="L25" s="313">
        <v>122</v>
      </c>
      <c r="M25" s="172">
        <f>SUM(K25:L25)</f>
        <v>122</v>
      </c>
    </row>
    <row r="26" spans="2:13" ht="15.75" customHeight="1" thickBot="1">
      <c r="B26" s="669"/>
      <c r="C26" s="156" t="s">
        <v>63</v>
      </c>
      <c r="D26" s="313">
        <v>1</v>
      </c>
      <c r="F26" s="172">
        <f t="shared" ref="F26:F27" si="10">SUM(D26:E26)</f>
        <v>1</v>
      </c>
      <c r="I26" s="669"/>
      <c r="J26" s="156" t="s">
        <v>63</v>
      </c>
      <c r="K26" s="313">
        <v>119</v>
      </c>
      <c r="L26" s="313"/>
      <c r="M26" s="172">
        <f t="shared" ref="M26:M27" si="11">SUM(K26:L26)</f>
        <v>119</v>
      </c>
    </row>
    <row r="27" spans="2:13" ht="15.75" customHeight="1" thickBot="1">
      <c r="B27" s="669"/>
      <c r="C27" s="156" t="s">
        <v>64</v>
      </c>
      <c r="F27" s="172">
        <f t="shared" si="10"/>
        <v>0</v>
      </c>
      <c r="I27" s="669"/>
      <c r="J27" s="156" t="s">
        <v>64</v>
      </c>
      <c r="L27" s="313"/>
      <c r="M27" s="172">
        <f t="shared" si="11"/>
        <v>0</v>
      </c>
    </row>
    <row r="28" spans="2:13" ht="15.75" customHeight="1" thickBot="1">
      <c r="B28" s="670"/>
      <c r="C28" s="266" t="s">
        <v>9</v>
      </c>
      <c r="D28" s="172">
        <f>SUM(D25:D27)</f>
        <v>1</v>
      </c>
      <c r="E28" s="172">
        <f>SUM(E25:E27)</f>
        <v>1</v>
      </c>
      <c r="F28" s="172">
        <f>SUM(F25:F27)</f>
        <v>2</v>
      </c>
      <c r="I28" s="670"/>
      <c r="J28" s="266" t="s">
        <v>9</v>
      </c>
      <c r="K28" s="172">
        <f>SUM(K25:K27)</f>
        <v>119</v>
      </c>
      <c r="L28" s="172">
        <f>SUM(L25:L27)</f>
        <v>122</v>
      </c>
      <c r="M28" s="172">
        <f>SUM(M25:M27)</f>
        <v>241</v>
      </c>
    </row>
    <row r="29" spans="2:13" ht="15.75" customHeight="1" thickBot="1">
      <c r="B29" s="668" t="s">
        <v>499</v>
      </c>
      <c r="C29" s="156" t="s">
        <v>62</v>
      </c>
      <c r="E29" s="313">
        <v>1</v>
      </c>
      <c r="F29" s="172">
        <f>SUM(D29:E29)</f>
        <v>1</v>
      </c>
      <c r="I29" s="668" t="s">
        <v>499</v>
      </c>
      <c r="J29" s="156" t="s">
        <v>62</v>
      </c>
      <c r="L29" s="313">
        <v>59</v>
      </c>
      <c r="M29" s="172">
        <f>SUM(K29:L29)</f>
        <v>59</v>
      </c>
    </row>
    <row r="30" spans="2:13" ht="15.75" customHeight="1" thickBot="1">
      <c r="B30" s="670"/>
      <c r="C30" s="266" t="s">
        <v>9</v>
      </c>
      <c r="D30" s="172">
        <f>SUM(D29:D29)</f>
        <v>0</v>
      </c>
      <c r="E30" s="172">
        <f>SUM(E29:E29)</f>
        <v>1</v>
      </c>
      <c r="F30" s="172">
        <f>SUM(F29:F29)</f>
        <v>1</v>
      </c>
      <c r="I30" s="670"/>
      <c r="J30" s="266" t="s">
        <v>9</v>
      </c>
      <c r="K30" s="172">
        <f>SUM(K29:K29)</f>
        <v>0</v>
      </c>
      <c r="L30" s="172">
        <f>SUM(L29:L29)</f>
        <v>59</v>
      </c>
      <c r="M30" s="172">
        <f>SUM(M29:M29)</f>
        <v>59</v>
      </c>
    </row>
    <row r="31" spans="2:13" ht="15.75" customHeight="1" thickBot="1">
      <c r="B31" s="668" t="s">
        <v>500</v>
      </c>
      <c r="C31" s="156" t="s">
        <v>62</v>
      </c>
      <c r="D31" s="313">
        <v>5</v>
      </c>
      <c r="E31" s="313">
        <v>6</v>
      </c>
      <c r="F31" s="172">
        <f>SUM(D31:E31)</f>
        <v>11</v>
      </c>
      <c r="I31" s="668" t="s">
        <v>500</v>
      </c>
      <c r="J31" s="156" t="s">
        <v>62</v>
      </c>
      <c r="K31" s="313">
        <v>724</v>
      </c>
      <c r="L31" s="313">
        <v>421</v>
      </c>
      <c r="M31" s="172">
        <f>SUM(K31:L31)</f>
        <v>1145</v>
      </c>
    </row>
    <row r="32" spans="2:13" ht="15.75" customHeight="1" thickBot="1">
      <c r="B32" s="670"/>
      <c r="C32" s="266" t="s">
        <v>9</v>
      </c>
      <c r="D32" s="172">
        <f>SUM(D31:D31)</f>
        <v>5</v>
      </c>
      <c r="E32" s="172">
        <f>SUM(E31:E31)</f>
        <v>6</v>
      </c>
      <c r="F32" s="172">
        <f>SUM(F31:F31)</f>
        <v>11</v>
      </c>
      <c r="I32" s="670"/>
      <c r="J32" s="266" t="s">
        <v>9</v>
      </c>
      <c r="K32" s="172">
        <f>SUM(K31:K31)</f>
        <v>724</v>
      </c>
      <c r="L32" s="172">
        <f>SUM(L31:L31)</f>
        <v>421</v>
      </c>
      <c r="M32" s="172">
        <f>SUM(M31:M31)</f>
        <v>1145</v>
      </c>
    </row>
    <row r="33" spans="2:14" ht="15.75" thickBot="1">
      <c r="B33" s="174" t="s">
        <v>10</v>
      </c>
      <c r="C33" s="170"/>
      <c r="D33" s="172">
        <f>SUM(D32,D30,D28,D24,D20,D16,D12,D8)</f>
        <v>45</v>
      </c>
      <c r="E33" s="172">
        <f>SUM(E32,E30,E28,E24,E20,E16,E12,E8)</f>
        <v>27</v>
      </c>
      <c r="F33" s="172">
        <f>SUM(F32,F30,F28,F24,F20,F16,F12,F8)</f>
        <v>72</v>
      </c>
      <c r="I33" s="174" t="s">
        <v>10</v>
      </c>
      <c r="J33" s="266"/>
      <c r="K33" s="172">
        <f>SUM(K32,K30,K28,K24,K20,K16,K12,K8)</f>
        <v>3327</v>
      </c>
      <c r="L33" s="172">
        <f>SUM(L32,L30,L28,L24,L20,L16,L12,L8)</f>
        <v>1031</v>
      </c>
      <c r="M33" s="172">
        <f>SUM(M32,M30,M28,M24,M20,M16,M12,M8)</f>
        <v>4358</v>
      </c>
    </row>
    <row r="34" spans="2:14" ht="7.5" customHeight="1"/>
    <row r="35" spans="2:14" ht="15.75">
      <c r="B35" s="13" t="s">
        <v>336</v>
      </c>
    </row>
    <row r="36" spans="2:14">
      <c r="B36" s="173" t="s">
        <v>352</v>
      </c>
      <c r="I36" s="173" t="s">
        <v>351</v>
      </c>
    </row>
    <row r="37" spans="2:14" ht="6" customHeight="1" thickBot="1">
      <c r="B37" s="173"/>
    </row>
    <row r="38" spans="2:14" ht="15.75" thickBot="1">
      <c r="D38" s="156" t="s">
        <v>62</v>
      </c>
      <c r="E38" s="157" t="s">
        <v>63</v>
      </c>
      <c r="F38" s="157" t="s">
        <v>64</v>
      </c>
      <c r="G38" s="171" t="s">
        <v>9</v>
      </c>
      <c r="J38"/>
      <c r="K38" s="156" t="s">
        <v>62</v>
      </c>
      <c r="L38" s="324" t="s">
        <v>63</v>
      </c>
      <c r="M38" s="324" t="s">
        <v>64</v>
      </c>
      <c r="N38" s="266" t="s">
        <v>9</v>
      </c>
    </row>
    <row r="39" spans="2:14" ht="15.75" customHeight="1" thickBot="1">
      <c r="B39" s="668" t="s">
        <v>19</v>
      </c>
      <c r="C39" s="156" t="s">
        <v>158</v>
      </c>
      <c r="F39" s="139">
        <v>1</v>
      </c>
      <c r="G39" s="172">
        <f t="shared" ref="G39:G72" si="12">SUM(D39:F39)</f>
        <v>1</v>
      </c>
      <c r="I39" s="668" t="s">
        <v>19</v>
      </c>
      <c r="J39" s="156" t="s">
        <v>158</v>
      </c>
      <c r="K39" s="317"/>
      <c r="L39" s="317"/>
      <c r="M39" s="317">
        <v>126</v>
      </c>
      <c r="N39" s="172">
        <f t="shared" ref="N39:N72" si="13">SUM(K39:M39)</f>
        <v>126</v>
      </c>
    </row>
    <row r="40" spans="2:14" ht="15.75" thickBot="1">
      <c r="B40" s="669"/>
      <c r="C40" s="156" t="s">
        <v>159</v>
      </c>
      <c r="D40" s="313">
        <v>3</v>
      </c>
      <c r="E40" s="313">
        <v>1</v>
      </c>
      <c r="F40" s="139">
        <v>2</v>
      </c>
      <c r="G40" s="172">
        <f t="shared" si="12"/>
        <v>6</v>
      </c>
      <c r="I40" s="669"/>
      <c r="J40" s="156" t="s">
        <v>159</v>
      </c>
      <c r="K40" s="317">
        <v>290</v>
      </c>
      <c r="L40" s="317">
        <v>1</v>
      </c>
      <c r="M40" s="317">
        <v>41</v>
      </c>
      <c r="N40" s="172">
        <f t="shared" si="13"/>
        <v>332</v>
      </c>
    </row>
    <row r="41" spans="2:14" ht="15.75" thickBot="1">
      <c r="B41" s="669"/>
      <c r="C41" s="156" t="s">
        <v>160</v>
      </c>
      <c r="D41" s="313">
        <v>4</v>
      </c>
      <c r="E41" s="313">
        <v>2</v>
      </c>
      <c r="F41" s="139">
        <v>3</v>
      </c>
      <c r="G41" s="172">
        <f t="shared" si="12"/>
        <v>9</v>
      </c>
      <c r="I41" s="669"/>
      <c r="J41" s="156" t="s">
        <v>160</v>
      </c>
      <c r="K41" s="317">
        <v>407</v>
      </c>
      <c r="L41" s="317">
        <v>257</v>
      </c>
      <c r="M41" s="317">
        <v>174</v>
      </c>
      <c r="N41" s="172">
        <f t="shared" si="13"/>
        <v>838</v>
      </c>
    </row>
    <row r="42" spans="2:14" ht="15.75" thickBot="1">
      <c r="B42" s="669"/>
      <c r="C42" s="156" t="s">
        <v>161</v>
      </c>
      <c r="D42" s="313">
        <v>5</v>
      </c>
      <c r="F42" s="139">
        <v>1</v>
      </c>
      <c r="G42" s="172">
        <f t="shared" si="12"/>
        <v>6</v>
      </c>
      <c r="I42" s="669"/>
      <c r="J42" s="156" t="s">
        <v>161</v>
      </c>
      <c r="K42" s="317">
        <v>449</v>
      </c>
      <c r="L42" s="317"/>
      <c r="M42" s="317">
        <v>17</v>
      </c>
      <c r="N42" s="172">
        <f t="shared" si="13"/>
        <v>466</v>
      </c>
    </row>
    <row r="43" spans="2:14" ht="15.75" thickBot="1">
      <c r="B43" s="669"/>
      <c r="C43" s="156" t="s">
        <v>162</v>
      </c>
      <c r="D43" s="313">
        <v>1</v>
      </c>
      <c r="F43" s="139"/>
      <c r="G43" s="172">
        <f t="shared" si="12"/>
        <v>1</v>
      </c>
      <c r="I43" s="669"/>
      <c r="J43" s="156" t="s">
        <v>162</v>
      </c>
      <c r="K43" s="317">
        <v>165</v>
      </c>
      <c r="L43" s="317"/>
      <c r="M43" s="317"/>
      <c r="N43" s="172">
        <f t="shared" si="13"/>
        <v>165</v>
      </c>
    </row>
    <row r="44" spans="2:14" ht="15.75" thickBot="1">
      <c r="B44" s="670"/>
      <c r="C44" s="171" t="s">
        <v>9</v>
      </c>
      <c r="D44" s="172">
        <f>SUM(D39:D43)</f>
        <v>13</v>
      </c>
      <c r="E44" s="172">
        <f>SUM(E39:E43)</f>
        <v>3</v>
      </c>
      <c r="F44" s="172">
        <f>SUM(F39:F43)</f>
        <v>7</v>
      </c>
      <c r="G44" s="172">
        <f t="shared" si="12"/>
        <v>23</v>
      </c>
      <c r="I44" s="670"/>
      <c r="J44" s="266" t="s">
        <v>9</v>
      </c>
      <c r="K44" s="172">
        <f>SUM(K39:K43)</f>
        <v>1311</v>
      </c>
      <c r="L44" s="172">
        <f>SUM(L39:L43)</f>
        <v>258</v>
      </c>
      <c r="M44" s="172">
        <f>SUM(M39:M43)</f>
        <v>358</v>
      </c>
      <c r="N44" s="172">
        <f t="shared" si="13"/>
        <v>1927</v>
      </c>
    </row>
    <row r="45" spans="2:14" ht="15.75" thickBot="1">
      <c r="B45" s="668" t="s">
        <v>348</v>
      </c>
      <c r="C45" s="156" t="s">
        <v>160</v>
      </c>
      <c r="E45" s="313">
        <v>1</v>
      </c>
      <c r="F45" s="139">
        <v>1</v>
      </c>
      <c r="G45" s="172">
        <f t="shared" si="12"/>
        <v>2</v>
      </c>
      <c r="I45" s="668" t="s">
        <v>348</v>
      </c>
      <c r="J45" s="156" t="s">
        <v>160</v>
      </c>
      <c r="K45" s="317"/>
      <c r="L45" s="317">
        <v>61</v>
      </c>
      <c r="M45" s="317">
        <v>92</v>
      </c>
      <c r="N45" s="172">
        <f t="shared" si="13"/>
        <v>153</v>
      </c>
    </row>
    <row r="46" spans="2:14" ht="15.75" thickBot="1">
      <c r="B46" s="670"/>
      <c r="C46" s="266" t="s">
        <v>9</v>
      </c>
      <c r="D46" s="172">
        <f>SUM(D45:D45)</f>
        <v>0</v>
      </c>
      <c r="E46" s="172">
        <f>SUM(E45:E45)</f>
        <v>1</v>
      </c>
      <c r="F46" s="172">
        <f>SUM(F45:F45)</f>
        <v>1</v>
      </c>
      <c r="G46" s="172">
        <f t="shared" si="12"/>
        <v>2</v>
      </c>
      <c r="I46" s="670"/>
      <c r="J46" s="266" t="s">
        <v>9</v>
      </c>
      <c r="K46" s="172">
        <f>SUM(K45:K45)</f>
        <v>0</v>
      </c>
      <c r="L46" s="172">
        <f>SUM(L45:L45)</f>
        <v>61</v>
      </c>
      <c r="M46" s="172">
        <f>SUM(M45:M45)</f>
        <v>92</v>
      </c>
      <c r="N46" s="172">
        <f t="shared" si="13"/>
        <v>153</v>
      </c>
    </row>
    <row r="47" spans="2:14" ht="15.75" customHeight="1" thickBot="1">
      <c r="B47" s="668" t="s">
        <v>349</v>
      </c>
      <c r="C47" s="156" t="s">
        <v>159</v>
      </c>
      <c r="D47" s="313">
        <v>1</v>
      </c>
      <c r="E47" s="313">
        <v>1</v>
      </c>
      <c r="F47" s="139"/>
      <c r="G47" s="172">
        <f t="shared" si="12"/>
        <v>2</v>
      </c>
      <c r="I47" s="668" t="s">
        <v>349</v>
      </c>
      <c r="J47" s="156" t="s">
        <v>159</v>
      </c>
      <c r="K47" s="317">
        <v>28</v>
      </c>
      <c r="L47" s="317">
        <v>28</v>
      </c>
      <c r="M47" s="317"/>
      <c r="N47" s="172">
        <f t="shared" si="13"/>
        <v>56</v>
      </c>
    </row>
    <row r="48" spans="2:14" ht="15.75" thickBot="1">
      <c r="B48" s="669"/>
      <c r="C48" s="156" t="s">
        <v>160</v>
      </c>
      <c r="D48" s="313">
        <v>6</v>
      </c>
      <c r="E48" s="313">
        <v>1</v>
      </c>
      <c r="F48" s="139"/>
      <c r="G48" s="172">
        <f t="shared" si="12"/>
        <v>7</v>
      </c>
      <c r="I48" s="669"/>
      <c r="J48" s="156" t="s">
        <v>160</v>
      </c>
      <c r="K48" s="317">
        <v>146</v>
      </c>
      <c r="L48" s="317">
        <v>21</v>
      </c>
      <c r="M48" s="317"/>
      <c r="N48" s="172">
        <f t="shared" si="13"/>
        <v>167</v>
      </c>
    </row>
    <row r="49" spans="2:14" ht="15.75" thickBot="1">
      <c r="B49" s="669"/>
      <c r="C49" s="156" t="s">
        <v>161</v>
      </c>
      <c r="D49" s="313">
        <v>5</v>
      </c>
      <c r="F49" s="139">
        <v>1</v>
      </c>
      <c r="G49" s="172">
        <f t="shared" si="12"/>
        <v>6</v>
      </c>
      <c r="I49" s="669"/>
      <c r="J49" s="156" t="s">
        <v>161</v>
      </c>
      <c r="K49" s="317">
        <v>89</v>
      </c>
      <c r="L49" s="317"/>
      <c r="M49" s="317">
        <v>28</v>
      </c>
      <c r="N49" s="172">
        <f t="shared" si="13"/>
        <v>117</v>
      </c>
    </row>
    <row r="50" spans="2:14" ht="15.75" thickBot="1">
      <c r="B50" s="669"/>
      <c r="C50" s="156" t="s">
        <v>162</v>
      </c>
      <c r="D50" s="313">
        <v>4</v>
      </c>
      <c r="F50" s="139"/>
      <c r="G50" s="172">
        <f t="shared" si="12"/>
        <v>4</v>
      </c>
      <c r="I50" s="669"/>
      <c r="J50" s="156" t="s">
        <v>162</v>
      </c>
      <c r="K50" s="317">
        <f>25+61</f>
        <v>86</v>
      </c>
      <c r="L50" s="317"/>
      <c r="M50" s="317"/>
      <c r="N50" s="172">
        <f t="shared" si="13"/>
        <v>86</v>
      </c>
    </row>
    <row r="51" spans="2:14" ht="15.75" thickBot="1">
      <c r="B51" s="669"/>
      <c r="C51" s="156" t="s">
        <v>163</v>
      </c>
      <c r="D51" s="313">
        <v>1</v>
      </c>
      <c r="F51" s="139"/>
      <c r="G51" s="172">
        <f t="shared" si="12"/>
        <v>1</v>
      </c>
      <c r="I51" s="669"/>
      <c r="J51" s="156" t="s">
        <v>163</v>
      </c>
      <c r="K51" s="317">
        <v>28</v>
      </c>
      <c r="L51" s="317"/>
      <c r="M51" s="317"/>
      <c r="N51" s="172">
        <f t="shared" si="13"/>
        <v>28</v>
      </c>
    </row>
    <row r="52" spans="2:14" ht="15.75" thickBot="1">
      <c r="B52" s="670"/>
      <c r="C52" s="266" t="s">
        <v>9</v>
      </c>
      <c r="D52" s="172">
        <f>SUM(D47:D51)</f>
        <v>17</v>
      </c>
      <c r="E52" s="172">
        <f>SUM(E47:E51)</f>
        <v>2</v>
      </c>
      <c r="F52" s="172">
        <f>SUM(F47:F51)</f>
        <v>1</v>
      </c>
      <c r="G52" s="172">
        <f t="shared" si="12"/>
        <v>20</v>
      </c>
      <c r="I52" s="670"/>
      <c r="J52" s="266" t="s">
        <v>9</v>
      </c>
      <c r="K52" s="172">
        <f>SUM(K47:K51)</f>
        <v>377</v>
      </c>
      <c r="L52" s="172">
        <f>SUM(L47:L51)</f>
        <v>49</v>
      </c>
      <c r="M52" s="172">
        <f>SUM(M47:M51)</f>
        <v>28</v>
      </c>
      <c r="N52" s="172">
        <f t="shared" si="13"/>
        <v>454</v>
      </c>
    </row>
    <row r="53" spans="2:14" ht="24.75" customHeight="1" thickBot="1">
      <c r="B53" s="668" t="s">
        <v>350</v>
      </c>
      <c r="C53" s="156" t="s">
        <v>159</v>
      </c>
      <c r="E53" s="313">
        <v>1</v>
      </c>
      <c r="F53" s="139"/>
      <c r="G53" s="172">
        <f t="shared" si="12"/>
        <v>1</v>
      </c>
      <c r="I53" s="668" t="s">
        <v>350</v>
      </c>
      <c r="J53" s="156" t="s">
        <v>159</v>
      </c>
      <c r="K53" s="317"/>
      <c r="L53" s="317">
        <v>294</v>
      </c>
      <c r="M53" s="317"/>
      <c r="N53" s="172">
        <f t="shared" si="13"/>
        <v>294</v>
      </c>
    </row>
    <row r="54" spans="2:14" ht="15.75" thickBot="1">
      <c r="B54" s="669"/>
      <c r="C54" s="156" t="s">
        <v>161</v>
      </c>
      <c r="E54" s="313">
        <v>1</v>
      </c>
      <c r="F54" s="139"/>
      <c r="G54" s="172">
        <f t="shared" si="12"/>
        <v>1</v>
      </c>
      <c r="I54" s="669"/>
      <c r="J54" s="156" t="s">
        <v>161</v>
      </c>
      <c r="K54" s="317"/>
      <c r="L54" s="317">
        <v>3.5</v>
      </c>
      <c r="M54" s="317"/>
      <c r="N54" s="172">
        <f t="shared" si="13"/>
        <v>3.5</v>
      </c>
    </row>
    <row r="55" spans="2:14" ht="15.75" thickBot="1">
      <c r="B55" s="669"/>
      <c r="C55" s="156" t="s">
        <v>162</v>
      </c>
      <c r="D55" s="313">
        <v>2</v>
      </c>
      <c r="F55" s="139"/>
      <c r="G55" s="172">
        <f t="shared" si="12"/>
        <v>2</v>
      </c>
      <c r="I55" s="669"/>
      <c r="J55" s="156" t="s">
        <v>162</v>
      </c>
      <c r="K55" s="317">
        <v>20.5</v>
      </c>
      <c r="L55" s="317"/>
      <c r="M55" s="317"/>
      <c r="N55" s="172">
        <f t="shared" si="13"/>
        <v>20.5</v>
      </c>
    </row>
    <row r="56" spans="2:14" ht="15.75" thickBot="1">
      <c r="B56" s="669"/>
      <c r="C56" s="324" t="s">
        <v>165</v>
      </c>
      <c r="D56" s="317"/>
      <c r="E56" s="317"/>
      <c r="F56" s="317">
        <v>1</v>
      </c>
      <c r="G56" s="172">
        <f t="shared" si="12"/>
        <v>1</v>
      </c>
      <c r="I56" s="669"/>
      <c r="J56" s="324" t="s">
        <v>165</v>
      </c>
      <c r="K56" s="317"/>
      <c r="L56" s="317"/>
      <c r="M56" s="317">
        <v>30</v>
      </c>
      <c r="N56" s="172">
        <f t="shared" si="13"/>
        <v>30</v>
      </c>
    </row>
    <row r="57" spans="2:14" ht="15.75" thickBot="1">
      <c r="B57" s="670"/>
      <c r="C57" s="266" t="s">
        <v>9</v>
      </c>
      <c r="D57" s="172">
        <f>SUM(D53:D56)</f>
        <v>2</v>
      </c>
      <c r="E57" s="172">
        <f>SUM(E53:E56)</f>
        <v>2</v>
      </c>
      <c r="F57" s="172">
        <f>SUM(F53:F56)</f>
        <v>1</v>
      </c>
      <c r="G57" s="172">
        <f t="shared" si="12"/>
        <v>5</v>
      </c>
      <c r="I57" s="670"/>
      <c r="J57" s="266" t="s">
        <v>9</v>
      </c>
      <c r="K57" s="172">
        <f>SUM(K53:K56)</f>
        <v>20.5</v>
      </c>
      <c r="L57" s="172">
        <f>SUM(L53:L56)</f>
        <v>297.5</v>
      </c>
      <c r="M57" s="172">
        <f>SUM(M53:M56)</f>
        <v>30</v>
      </c>
      <c r="N57" s="172">
        <f t="shared" si="13"/>
        <v>348</v>
      </c>
    </row>
    <row r="58" spans="2:14" ht="15.75" thickBot="1">
      <c r="B58" s="668" t="s">
        <v>503</v>
      </c>
      <c r="C58" s="324" t="s">
        <v>164</v>
      </c>
      <c r="F58" s="317">
        <v>1</v>
      </c>
      <c r="G58" s="172">
        <f t="shared" si="12"/>
        <v>1</v>
      </c>
      <c r="I58" s="668" t="s">
        <v>503</v>
      </c>
      <c r="J58" s="324" t="s">
        <v>164</v>
      </c>
      <c r="K58" s="317"/>
      <c r="L58" s="317"/>
      <c r="M58" s="317">
        <v>31</v>
      </c>
      <c r="N58" s="172">
        <f t="shared" si="13"/>
        <v>31</v>
      </c>
    </row>
    <row r="59" spans="2:14" ht="15.75" thickBot="1">
      <c r="B59" s="670"/>
      <c r="C59" s="266" t="s">
        <v>9</v>
      </c>
      <c r="D59" s="172">
        <f>SUM(D58:D58)</f>
        <v>0</v>
      </c>
      <c r="E59" s="172">
        <f>SUM(E58:E58)</f>
        <v>0</v>
      </c>
      <c r="F59" s="172">
        <f>SUM(F58:F58)</f>
        <v>1</v>
      </c>
      <c r="G59" s="172">
        <f t="shared" si="12"/>
        <v>1</v>
      </c>
      <c r="I59" s="670"/>
      <c r="J59" s="266" t="s">
        <v>9</v>
      </c>
      <c r="K59" s="172">
        <f>SUM(K58:K58)</f>
        <v>0</v>
      </c>
      <c r="L59" s="172">
        <f>SUM(L58:L58)</f>
        <v>0</v>
      </c>
      <c r="M59" s="172">
        <f>SUM(M58:M58)</f>
        <v>31</v>
      </c>
      <c r="N59" s="172">
        <f t="shared" si="13"/>
        <v>31</v>
      </c>
    </row>
    <row r="60" spans="2:14" ht="24.75" customHeight="1" thickBot="1">
      <c r="B60" s="668" t="s">
        <v>504</v>
      </c>
      <c r="C60" s="156" t="s">
        <v>162</v>
      </c>
      <c r="E60" s="313">
        <v>1</v>
      </c>
      <c r="F60" s="313"/>
      <c r="G60" s="172">
        <f t="shared" si="12"/>
        <v>1</v>
      </c>
      <c r="I60" s="668" t="s">
        <v>504</v>
      </c>
      <c r="J60" s="156" t="s">
        <v>162</v>
      </c>
      <c r="K60" s="317"/>
      <c r="L60" s="317">
        <v>119</v>
      </c>
      <c r="M60" s="317"/>
      <c r="N60" s="172">
        <f t="shared" si="13"/>
        <v>119</v>
      </c>
    </row>
    <row r="61" spans="2:14" ht="15.75" customHeight="1" thickBot="1">
      <c r="B61" s="669"/>
      <c r="C61" s="324" t="s">
        <v>165</v>
      </c>
      <c r="D61" s="317">
        <v>1</v>
      </c>
      <c r="E61" s="317"/>
      <c r="F61" s="317"/>
      <c r="G61" s="172">
        <f t="shared" si="12"/>
        <v>1</v>
      </c>
      <c r="I61" s="669"/>
      <c r="J61" s="324" t="s">
        <v>165</v>
      </c>
      <c r="K61" s="317">
        <v>122</v>
      </c>
      <c r="L61" s="317"/>
      <c r="M61" s="317"/>
      <c r="N61" s="172">
        <f t="shared" si="13"/>
        <v>122</v>
      </c>
    </row>
    <row r="62" spans="2:14" ht="15.75" customHeight="1" thickBot="1">
      <c r="B62" s="670"/>
      <c r="C62" s="266" t="s">
        <v>9</v>
      </c>
      <c r="D62" s="172">
        <f>SUM(D60:D61)</f>
        <v>1</v>
      </c>
      <c r="E62" s="172">
        <f>SUM(E60:E61)</f>
        <v>1</v>
      </c>
      <c r="F62" s="172">
        <f>SUM(F60:F61)</f>
        <v>0</v>
      </c>
      <c r="G62" s="172">
        <f t="shared" si="12"/>
        <v>2</v>
      </c>
      <c r="I62" s="670"/>
      <c r="J62" s="266" t="s">
        <v>9</v>
      </c>
      <c r="K62" s="172">
        <f>SUM(K60:K61)</f>
        <v>122</v>
      </c>
      <c r="L62" s="172">
        <f>SUM(L60:L61)</f>
        <v>119</v>
      </c>
      <c r="M62" s="172">
        <f>SUM(M60:M61)</f>
        <v>0</v>
      </c>
      <c r="N62" s="172">
        <f t="shared" si="13"/>
        <v>241</v>
      </c>
    </row>
    <row r="63" spans="2:14" ht="24.75" customHeight="1" thickBot="1">
      <c r="B63" s="668" t="s">
        <v>505</v>
      </c>
      <c r="C63" s="324" t="s">
        <v>165</v>
      </c>
      <c r="D63" s="317">
        <v>1</v>
      </c>
      <c r="E63" s="317"/>
      <c r="F63" s="317"/>
      <c r="G63" s="172">
        <f t="shared" si="12"/>
        <v>1</v>
      </c>
      <c r="I63" s="668" t="s">
        <v>505</v>
      </c>
      <c r="J63" s="324" t="s">
        <v>165</v>
      </c>
      <c r="K63" s="317">
        <v>59</v>
      </c>
      <c r="L63" s="317"/>
      <c r="M63" s="317"/>
      <c r="N63" s="172">
        <f t="shared" si="13"/>
        <v>59</v>
      </c>
    </row>
    <row r="64" spans="2:14" ht="15.75" thickBot="1">
      <c r="B64" s="670"/>
      <c r="C64" s="266" t="s">
        <v>9</v>
      </c>
      <c r="D64" s="172">
        <f>SUM(D63:D63)</f>
        <v>1</v>
      </c>
      <c r="E64" s="172">
        <f>SUM(E63:E63)</f>
        <v>0</v>
      </c>
      <c r="F64" s="172">
        <f>SUM(F63:F63)</f>
        <v>0</v>
      </c>
      <c r="G64" s="172">
        <f t="shared" si="12"/>
        <v>1</v>
      </c>
      <c r="I64" s="670"/>
      <c r="J64" s="266" t="s">
        <v>9</v>
      </c>
      <c r="K64" s="172">
        <f>SUM(K63:K63)</f>
        <v>59</v>
      </c>
      <c r="L64" s="172">
        <f>SUM(L63:L63)</f>
        <v>0</v>
      </c>
      <c r="M64" s="172">
        <f>SUM(M63:M63)</f>
        <v>0</v>
      </c>
      <c r="N64" s="172">
        <f t="shared" si="13"/>
        <v>59</v>
      </c>
    </row>
    <row r="65" spans="2:16" ht="24.75" customHeight="1" thickBot="1">
      <c r="B65" s="668" t="s">
        <v>500</v>
      </c>
      <c r="C65" s="156" t="s">
        <v>161</v>
      </c>
      <c r="D65" s="313">
        <v>1</v>
      </c>
      <c r="F65" s="313"/>
      <c r="G65" s="172">
        <f t="shared" si="12"/>
        <v>1</v>
      </c>
      <c r="I65" s="668" t="s">
        <v>500</v>
      </c>
      <c r="J65" s="156" t="s">
        <v>161</v>
      </c>
      <c r="K65" s="317">
        <v>181</v>
      </c>
      <c r="L65" s="317"/>
      <c r="M65" s="317"/>
      <c r="N65" s="172">
        <f t="shared" si="13"/>
        <v>181</v>
      </c>
    </row>
    <row r="66" spans="2:16" ht="15.75" thickBot="1">
      <c r="B66" s="669"/>
      <c r="C66" s="156" t="s">
        <v>162</v>
      </c>
      <c r="D66" s="313">
        <v>3</v>
      </c>
      <c r="F66" s="313"/>
      <c r="G66" s="172">
        <f t="shared" si="12"/>
        <v>3</v>
      </c>
      <c r="I66" s="669"/>
      <c r="J66" s="156" t="s">
        <v>162</v>
      </c>
      <c r="K66" s="317">
        <v>362</v>
      </c>
      <c r="L66" s="317"/>
      <c r="M66" s="317"/>
      <c r="N66" s="172">
        <f t="shared" si="13"/>
        <v>362</v>
      </c>
    </row>
    <row r="67" spans="2:16" ht="15.75" thickBot="1">
      <c r="B67" s="669"/>
      <c r="C67" s="156" t="s">
        <v>163</v>
      </c>
      <c r="D67" s="313">
        <v>1</v>
      </c>
      <c r="F67" s="313"/>
      <c r="G67" s="172">
        <f t="shared" si="12"/>
        <v>1</v>
      </c>
      <c r="I67" s="669"/>
      <c r="J67" s="156" t="s">
        <v>163</v>
      </c>
      <c r="K67" s="317">
        <v>122</v>
      </c>
      <c r="L67" s="317"/>
      <c r="M67" s="317"/>
      <c r="N67" s="172">
        <f t="shared" si="13"/>
        <v>122</v>
      </c>
    </row>
    <row r="68" spans="2:16" ht="15.75" thickBot="1">
      <c r="B68" s="669"/>
      <c r="C68" s="324" t="s">
        <v>164</v>
      </c>
      <c r="D68" s="317">
        <v>1</v>
      </c>
      <c r="E68" s="317"/>
      <c r="F68" s="317"/>
      <c r="G68" s="172">
        <f t="shared" si="12"/>
        <v>1</v>
      </c>
      <c r="I68" s="669"/>
      <c r="J68" s="324" t="s">
        <v>164</v>
      </c>
      <c r="K68" s="317">
        <v>181</v>
      </c>
      <c r="L68" s="317"/>
      <c r="M68" s="317"/>
      <c r="N68" s="172">
        <f t="shared" si="13"/>
        <v>181</v>
      </c>
    </row>
    <row r="69" spans="2:16" ht="15.75" thickBot="1">
      <c r="B69" s="669"/>
      <c r="C69" s="324" t="s">
        <v>165</v>
      </c>
      <c r="D69" s="317">
        <v>1</v>
      </c>
      <c r="E69" s="317"/>
      <c r="F69" s="317"/>
      <c r="G69" s="172">
        <f t="shared" si="12"/>
        <v>1</v>
      </c>
      <c r="I69" s="669"/>
      <c r="J69" s="324" t="s">
        <v>165</v>
      </c>
      <c r="K69" s="317">
        <v>59</v>
      </c>
      <c r="L69" s="317"/>
      <c r="M69" s="317"/>
      <c r="N69" s="172">
        <f t="shared" si="13"/>
        <v>59</v>
      </c>
    </row>
    <row r="70" spans="2:16" ht="15.75" thickBot="1">
      <c r="B70" s="669"/>
      <c r="C70" s="324" t="s">
        <v>166</v>
      </c>
      <c r="D70" s="317">
        <v>2</v>
      </c>
      <c r="E70" s="317"/>
      <c r="F70" s="317"/>
      <c r="G70" s="172">
        <f t="shared" si="12"/>
        <v>2</v>
      </c>
      <c r="I70" s="669"/>
      <c r="J70" s="324" t="s">
        <v>166</v>
      </c>
      <c r="K70" s="317">
        <v>240</v>
      </c>
      <c r="L70" s="317"/>
      <c r="M70" s="317"/>
      <c r="N70" s="172">
        <f t="shared" si="13"/>
        <v>240</v>
      </c>
    </row>
    <row r="71" spans="2:16" ht="15.75" thickBot="1">
      <c r="B71" s="670"/>
      <c r="C71" s="266" t="s">
        <v>9</v>
      </c>
      <c r="D71" s="172">
        <f>SUM(D65:D70)</f>
        <v>9</v>
      </c>
      <c r="E71" s="172">
        <f>SUM(E65:E70)</f>
        <v>0</v>
      </c>
      <c r="F71" s="172">
        <f>SUM(F65:F70)</f>
        <v>0</v>
      </c>
      <c r="G71" s="172">
        <f t="shared" si="12"/>
        <v>9</v>
      </c>
      <c r="I71" s="670"/>
      <c r="J71" s="266" t="s">
        <v>9</v>
      </c>
      <c r="K71" s="172">
        <f>SUM(K65:K70)</f>
        <v>1145</v>
      </c>
      <c r="L71" s="172">
        <f>SUM(L65:L70)</f>
        <v>0</v>
      </c>
      <c r="M71" s="172">
        <f>SUM(M65:M70)</f>
        <v>0</v>
      </c>
      <c r="N71" s="172">
        <f t="shared" si="13"/>
        <v>1145</v>
      </c>
    </row>
    <row r="72" spans="2:16" ht="15.75" thickBot="1">
      <c r="B72" s="174" t="s">
        <v>10</v>
      </c>
      <c r="C72" s="170"/>
      <c r="D72" s="175">
        <f>SUM(D59,D57,D52,D46,D44,D62,D64,D71)</f>
        <v>43</v>
      </c>
      <c r="E72" s="175">
        <f>SUM(E59,E57,E52,E46,E44,E62,E64,E71)</f>
        <v>9</v>
      </c>
      <c r="F72" s="175">
        <f>SUM(F59,F57,F52,F46,F44,F62,F64,F71)</f>
        <v>11</v>
      </c>
      <c r="G72" s="172">
        <f t="shared" si="12"/>
        <v>63</v>
      </c>
      <c r="I72" s="174" t="s">
        <v>10</v>
      </c>
      <c r="J72" s="170"/>
      <c r="K72" s="175">
        <f>SUM(K59,K57,K52,K46,K44,K62,K64,K71)</f>
        <v>3034.5</v>
      </c>
      <c r="L72" s="175">
        <f>SUM(L59,L57,L52,L46,L44,L62,L64,L71)</f>
        <v>784.5</v>
      </c>
      <c r="M72" s="175">
        <f>SUM(M59,M57,M52,M46,M44,M62,M64,M71)</f>
        <v>539</v>
      </c>
      <c r="N72" s="172">
        <f t="shared" si="13"/>
        <v>4358</v>
      </c>
    </row>
    <row r="74" spans="2:16" ht="15.75">
      <c r="B74" s="13" t="s">
        <v>361</v>
      </c>
    </row>
    <row r="75" spans="2:16" ht="15.75" thickBot="1">
      <c r="P75" s="238"/>
    </row>
    <row r="76" spans="2:16" ht="15.75" thickBot="1">
      <c r="B76" s="156" t="s">
        <v>501</v>
      </c>
      <c r="C76" s="323">
        <v>19</v>
      </c>
      <c r="P76" s="238"/>
    </row>
    <row r="77" spans="2:16" ht="15.75" thickBot="1">
      <c r="P77" s="238"/>
    </row>
    <row r="78" spans="2:16" ht="24.75" thickBot="1">
      <c r="B78" s="169" t="s">
        <v>502</v>
      </c>
      <c r="C78" s="323">
        <v>671</v>
      </c>
      <c r="P78" s="238"/>
    </row>
    <row r="79" spans="2:16" ht="15.75" thickBot="1">
      <c r="E79"/>
      <c r="P79" s="238"/>
    </row>
    <row r="80" spans="2:16" ht="15.75" thickBot="1">
      <c r="C80" s="199" t="s">
        <v>352</v>
      </c>
      <c r="E80"/>
      <c r="P80" s="238"/>
    </row>
    <row r="81" spans="2:16" ht="15.75" thickBot="1">
      <c r="B81" s="156" t="s">
        <v>462</v>
      </c>
      <c r="C81" s="323">
        <v>184</v>
      </c>
      <c r="E81"/>
      <c r="P81" s="238"/>
    </row>
    <row r="82" spans="2:16" ht="15.75" thickBot="1">
      <c r="B82" s="156" t="s">
        <v>463</v>
      </c>
      <c r="C82" s="323">
        <v>111</v>
      </c>
      <c r="E82"/>
      <c r="P82" s="238"/>
    </row>
    <row r="83" spans="2:16" ht="15.75" thickBot="1">
      <c r="B83" s="153" t="s">
        <v>9</v>
      </c>
      <c r="C83" s="199">
        <f>SUM(C81:C82)</f>
        <v>295</v>
      </c>
      <c r="D83"/>
      <c r="E83"/>
      <c r="H83" s="313"/>
      <c r="P83" s="238"/>
    </row>
    <row r="84" spans="2:16">
      <c r="D84"/>
      <c r="E84"/>
      <c r="H84" s="313"/>
      <c r="P84" s="238"/>
    </row>
  </sheetData>
  <mergeCells count="32">
    <mergeCell ref="B25:B28"/>
    <mergeCell ref="I25:I28"/>
    <mergeCell ref="I29:I30"/>
    <mergeCell ref="I31:I32"/>
    <mergeCell ref="B29:B30"/>
    <mergeCell ref="B31:B32"/>
    <mergeCell ref="B5:B8"/>
    <mergeCell ref="B9:B12"/>
    <mergeCell ref="B13:B16"/>
    <mergeCell ref="B17:B20"/>
    <mergeCell ref="B21:B24"/>
    <mergeCell ref="I5:I8"/>
    <mergeCell ref="I9:I12"/>
    <mergeCell ref="I13:I16"/>
    <mergeCell ref="I17:I20"/>
    <mergeCell ref="I21:I24"/>
    <mergeCell ref="B39:B44"/>
    <mergeCell ref="B45:B46"/>
    <mergeCell ref="B47:B52"/>
    <mergeCell ref="B53:B57"/>
    <mergeCell ref="B65:B71"/>
    <mergeCell ref="B63:B64"/>
    <mergeCell ref="B60:B62"/>
    <mergeCell ref="B58:B59"/>
    <mergeCell ref="I60:I62"/>
    <mergeCell ref="I63:I64"/>
    <mergeCell ref="I65:I71"/>
    <mergeCell ref="I39:I44"/>
    <mergeCell ref="I45:I46"/>
    <mergeCell ref="I47:I52"/>
    <mergeCell ref="I53:I57"/>
    <mergeCell ref="I58:I59"/>
  </mergeCells>
  <pageMargins left="0.23622047244094491" right="0.23622047244094491" top="0.74803149606299213" bottom="0.74803149606299213" header="0.31496062992125984" footer="0.31496062992125984"/>
  <pageSetup paperSize="9" scale="78" orientation="landscape" horizontalDpi="4294967293" r:id="rId1"/>
  <headerFooter>
    <oddHeader>&amp;C&amp;"-,Gras"Chapitre V - Organisation
3. Absences hors raison de santé</oddHeader>
    <oddFooter>&amp;C&amp;"-,Gras"Base de Données Sociales 2023&amp;R&amp;P</oddFooter>
  </headerFooter>
  <rowBreaks count="2" manualBreakCount="2">
    <brk id="34" max="16383" man="1"/>
    <brk id="7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2799F-B58E-4223-AA18-354012B66384}">
  <sheetPr codeName="Feuil21">
    <tabColor rgb="FF92D050"/>
  </sheetPr>
  <dimension ref="A1:W121"/>
  <sheetViews>
    <sheetView showGridLines="0" view="pageLayout" topLeftCell="A74" zoomScale="50" zoomScaleNormal="100" zoomScaleSheetLayoutView="40" zoomScalePageLayoutView="50" workbookViewId="0">
      <selection activeCell="R3" sqref="R3:V15"/>
    </sheetView>
  </sheetViews>
  <sheetFormatPr baseColWidth="10" defaultColWidth="11.42578125" defaultRowHeight="15"/>
  <cols>
    <col min="1" max="1" width="7.7109375" style="263" customWidth="1"/>
    <col min="2" max="4" width="9.140625" style="263" customWidth="1"/>
    <col min="5" max="5" width="2.85546875" style="263" customWidth="1"/>
    <col min="6" max="6" width="9.42578125" style="263" customWidth="1"/>
    <col min="7" max="7" width="9.28515625" style="263" customWidth="1"/>
    <col min="8" max="8" width="12.42578125" style="263" bestFit="1" customWidth="1"/>
    <col min="9" max="9" width="11.85546875" style="263" customWidth="1"/>
    <col min="10" max="10" width="9.28515625" style="263" customWidth="1"/>
    <col min="11" max="11" width="12.42578125" style="263" bestFit="1" customWidth="1"/>
    <col min="12" max="12" width="7.140625" style="263" customWidth="1"/>
    <col min="13" max="13" width="11.42578125" style="263"/>
    <col min="14" max="14" width="12.42578125" style="263" bestFit="1" customWidth="1"/>
    <col min="15" max="15" width="12.28515625" style="263" customWidth="1"/>
    <col min="16" max="16" width="29.42578125" style="263" customWidth="1"/>
    <col min="17" max="17" width="12.28515625" style="263" customWidth="1"/>
    <col min="18" max="18" width="8.140625" style="263" customWidth="1"/>
    <col min="19" max="16384" width="11.42578125" style="263"/>
  </cols>
  <sheetData>
    <row r="1" spans="1:22" s="278" customFormat="1" ht="15.75">
      <c r="A1" s="277" t="s">
        <v>353</v>
      </c>
    </row>
    <row r="2" spans="1:22" s="278" customFormat="1">
      <c r="A2" s="278" t="s">
        <v>326</v>
      </c>
      <c r="F2" s="278" t="s">
        <v>354</v>
      </c>
      <c r="L2" s="278" t="s">
        <v>287</v>
      </c>
    </row>
    <row r="3" spans="1:22" ht="7.5" customHeight="1" thickBot="1">
      <c r="R3" s="59"/>
      <c r="S3" s="59"/>
      <c r="T3" s="59"/>
      <c r="U3" s="59"/>
      <c r="V3" s="59"/>
    </row>
    <row r="4" spans="1:22" ht="15.75" thickBot="1">
      <c r="B4" s="156" t="s">
        <v>24</v>
      </c>
      <c r="C4" s="157" t="s">
        <v>25</v>
      </c>
      <c r="D4" s="266" t="s">
        <v>9</v>
      </c>
      <c r="G4" s="156" t="s">
        <v>62</v>
      </c>
      <c r="H4" s="156" t="s">
        <v>63</v>
      </c>
      <c r="I4" s="157" t="s">
        <v>64</v>
      </c>
      <c r="J4" s="154" t="s">
        <v>9</v>
      </c>
      <c r="M4" s="156" t="s">
        <v>24</v>
      </c>
      <c r="N4" s="157" t="s">
        <v>25</v>
      </c>
      <c r="O4" s="266" t="s">
        <v>9</v>
      </c>
    </row>
    <row r="5" spans="1:22" ht="15.75" thickBot="1">
      <c r="A5" s="264" t="s">
        <v>339</v>
      </c>
      <c r="B5" s="188">
        <v>2</v>
      </c>
      <c r="C5" s="189">
        <v>1</v>
      </c>
      <c r="D5" s="176">
        <f>SUM(B5:C5)</f>
        <v>3</v>
      </c>
      <c r="F5" s="264" t="s">
        <v>339</v>
      </c>
      <c r="G5" s="194"/>
      <c r="H5" s="194">
        <v>1</v>
      </c>
      <c r="I5" s="189">
        <v>2</v>
      </c>
      <c r="J5" s="178">
        <f t="shared" ref="J5:J15" si="0">SUM(G5:I5)</f>
        <v>3</v>
      </c>
      <c r="L5" s="264" t="s">
        <v>62</v>
      </c>
      <c r="M5" s="267">
        <v>86</v>
      </c>
      <c r="N5" s="268">
        <v>60</v>
      </c>
      <c r="O5" s="197">
        <f t="shared" ref="O5:O7" si="1">SUM(M5:N5)</f>
        <v>146</v>
      </c>
    </row>
    <row r="6" spans="1:22" ht="15.75" thickBot="1">
      <c r="A6" s="264" t="s">
        <v>159</v>
      </c>
      <c r="B6" s="190">
        <v>11</v>
      </c>
      <c r="C6" s="191">
        <v>2</v>
      </c>
      <c r="D6" s="176">
        <f t="shared" ref="D6:D14" si="2">SUM(B6:C6)</f>
        <v>13</v>
      </c>
      <c r="F6" s="264" t="s">
        <v>159</v>
      </c>
      <c r="G6" s="195">
        <v>5</v>
      </c>
      <c r="H6" s="195">
        <v>2</v>
      </c>
      <c r="I6" s="191">
        <v>6</v>
      </c>
      <c r="J6" s="178">
        <f t="shared" si="0"/>
        <v>13</v>
      </c>
      <c r="L6" s="264" t="s">
        <v>63</v>
      </c>
      <c r="M6" s="190">
        <v>97</v>
      </c>
      <c r="N6" s="191">
        <v>25</v>
      </c>
      <c r="O6" s="197">
        <f t="shared" si="1"/>
        <v>122</v>
      </c>
      <c r="T6" s="263" t="s">
        <v>359</v>
      </c>
      <c r="U6" s="263" t="s">
        <v>202</v>
      </c>
      <c r="V6" s="263" t="s">
        <v>360</v>
      </c>
    </row>
    <row r="7" spans="1:22" ht="15.75" thickBot="1">
      <c r="A7" s="264" t="s">
        <v>160</v>
      </c>
      <c r="B7" s="190">
        <v>20</v>
      </c>
      <c r="C7" s="191">
        <v>8</v>
      </c>
      <c r="D7" s="176">
        <f t="shared" si="2"/>
        <v>28</v>
      </c>
      <c r="F7" s="264" t="s">
        <v>160</v>
      </c>
      <c r="G7" s="195">
        <v>8</v>
      </c>
      <c r="H7" s="195">
        <v>11</v>
      </c>
      <c r="I7" s="191">
        <v>9</v>
      </c>
      <c r="J7" s="178">
        <f t="shared" si="0"/>
        <v>28</v>
      </c>
      <c r="L7" s="264" t="s">
        <v>64</v>
      </c>
      <c r="M7" s="192">
        <v>95</v>
      </c>
      <c r="N7" s="193">
        <v>32</v>
      </c>
      <c r="O7" s="197">
        <f t="shared" si="1"/>
        <v>127</v>
      </c>
      <c r="R7" s="263" t="s">
        <v>24</v>
      </c>
      <c r="S7" s="263" t="s">
        <v>62</v>
      </c>
      <c r="T7" s="263">
        <v>25</v>
      </c>
      <c r="U7" s="263">
        <v>4</v>
      </c>
      <c r="V7" s="263">
        <v>31</v>
      </c>
    </row>
    <row r="8" spans="1:22" ht="15.75" thickBot="1">
      <c r="A8" s="264" t="s">
        <v>161</v>
      </c>
      <c r="B8" s="190">
        <v>30</v>
      </c>
      <c r="C8" s="191">
        <v>12</v>
      </c>
      <c r="D8" s="176">
        <f t="shared" si="2"/>
        <v>42</v>
      </c>
      <c r="F8" s="264" t="s">
        <v>161</v>
      </c>
      <c r="G8" s="195">
        <v>14</v>
      </c>
      <c r="H8" s="195">
        <v>15</v>
      </c>
      <c r="I8" s="191">
        <v>13</v>
      </c>
      <c r="J8" s="178">
        <f t="shared" si="0"/>
        <v>42</v>
      </c>
      <c r="L8" s="153" t="s">
        <v>9</v>
      </c>
      <c r="M8" s="177">
        <f>SUM(M5:M7)</f>
        <v>278</v>
      </c>
      <c r="N8" s="177">
        <f>SUM(N5:N7)</f>
        <v>117</v>
      </c>
      <c r="O8" s="177">
        <f>SUM(O5:O7)</f>
        <v>395</v>
      </c>
      <c r="S8" s="263" t="s">
        <v>63</v>
      </c>
      <c r="T8" s="263">
        <v>23</v>
      </c>
      <c r="U8" s="263">
        <v>5</v>
      </c>
      <c r="V8" s="263">
        <v>49</v>
      </c>
    </row>
    <row r="9" spans="1:22" ht="15.75" thickBot="1">
      <c r="A9" s="264" t="s">
        <v>162</v>
      </c>
      <c r="B9" s="190">
        <v>26</v>
      </c>
      <c r="C9" s="191">
        <v>14</v>
      </c>
      <c r="D9" s="176">
        <f t="shared" si="2"/>
        <v>40</v>
      </c>
      <c r="F9" s="264" t="s">
        <v>162</v>
      </c>
      <c r="G9" s="195">
        <v>15</v>
      </c>
      <c r="H9" s="195">
        <v>16</v>
      </c>
      <c r="I9" s="191">
        <v>9</v>
      </c>
      <c r="J9" s="178">
        <f t="shared" si="0"/>
        <v>40</v>
      </c>
      <c r="S9" s="263" t="s">
        <v>64</v>
      </c>
      <c r="T9" s="263">
        <v>16</v>
      </c>
      <c r="V9" s="263">
        <v>8</v>
      </c>
    </row>
    <row r="10" spans="1:22" ht="15.75" thickBot="1">
      <c r="A10" s="264" t="s">
        <v>163</v>
      </c>
      <c r="B10" s="190">
        <v>43</v>
      </c>
      <c r="C10" s="191">
        <v>21</v>
      </c>
      <c r="D10" s="176">
        <f t="shared" si="2"/>
        <v>64</v>
      </c>
      <c r="F10" s="264" t="s">
        <v>163</v>
      </c>
      <c r="G10" s="195">
        <v>27</v>
      </c>
      <c r="H10" s="195">
        <v>16</v>
      </c>
      <c r="I10" s="191">
        <v>21</v>
      </c>
      <c r="J10" s="178">
        <f t="shared" si="0"/>
        <v>64</v>
      </c>
      <c r="R10" s="263" t="s">
        <v>25</v>
      </c>
      <c r="S10" s="263" t="s">
        <v>62</v>
      </c>
      <c r="T10" s="263">
        <v>13</v>
      </c>
      <c r="U10" s="263">
        <v>10</v>
      </c>
      <c r="V10" s="263">
        <v>85</v>
      </c>
    </row>
    <row r="11" spans="1:22" ht="15.75" thickBot="1">
      <c r="A11" s="264" t="s">
        <v>164</v>
      </c>
      <c r="B11" s="190">
        <v>68</v>
      </c>
      <c r="C11" s="191">
        <v>27</v>
      </c>
      <c r="D11" s="176">
        <f t="shared" si="2"/>
        <v>95</v>
      </c>
      <c r="F11" s="264" t="s">
        <v>164</v>
      </c>
      <c r="G11" s="195">
        <v>34</v>
      </c>
      <c r="H11" s="195">
        <v>31</v>
      </c>
      <c r="I11" s="191">
        <v>30</v>
      </c>
      <c r="J11" s="178">
        <f t="shared" si="0"/>
        <v>95</v>
      </c>
      <c r="S11" s="263" t="s">
        <v>63</v>
      </c>
      <c r="T11" s="263">
        <v>3</v>
      </c>
      <c r="U11" s="263">
        <v>5</v>
      </c>
      <c r="V11" s="263">
        <v>19</v>
      </c>
    </row>
    <row r="12" spans="1:22" ht="15.75" thickBot="1">
      <c r="A12" s="264" t="s">
        <v>165</v>
      </c>
      <c r="B12" s="190">
        <v>39</v>
      </c>
      <c r="C12" s="191">
        <v>22</v>
      </c>
      <c r="D12" s="176">
        <f t="shared" si="2"/>
        <v>61</v>
      </c>
      <c r="F12" s="264" t="s">
        <v>165</v>
      </c>
      <c r="G12" s="195">
        <v>23</v>
      </c>
      <c r="H12" s="195">
        <v>19</v>
      </c>
      <c r="I12" s="191">
        <v>19</v>
      </c>
      <c r="J12" s="178">
        <f t="shared" si="0"/>
        <v>61</v>
      </c>
      <c r="S12" s="263" t="s">
        <v>64</v>
      </c>
      <c r="T12" s="263">
        <v>22</v>
      </c>
      <c r="V12" s="263">
        <v>27</v>
      </c>
    </row>
    <row r="13" spans="1:22" ht="15.75" thickBot="1">
      <c r="A13" s="264" t="s">
        <v>340</v>
      </c>
      <c r="B13" s="190">
        <v>37</v>
      </c>
      <c r="C13" s="191">
        <v>10</v>
      </c>
      <c r="D13" s="176">
        <f t="shared" si="2"/>
        <v>47</v>
      </c>
      <c r="F13" s="264" t="s">
        <v>340</v>
      </c>
      <c r="G13" s="195">
        <v>19</v>
      </c>
      <c r="H13" s="195">
        <v>10</v>
      </c>
      <c r="I13" s="191">
        <v>18</v>
      </c>
      <c r="J13" s="178">
        <f t="shared" si="0"/>
        <v>47</v>
      </c>
    </row>
    <row r="14" spans="1:22" ht="15.75" thickBot="1">
      <c r="A14" s="264" t="s">
        <v>175</v>
      </c>
      <c r="B14" s="192">
        <v>2</v>
      </c>
      <c r="C14" s="193"/>
      <c r="D14" s="176">
        <f t="shared" si="2"/>
        <v>2</v>
      </c>
      <c r="F14" s="264" t="s">
        <v>175</v>
      </c>
      <c r="G14" s="196">
        <v>1</v>
      </c>
      <c r="H14" s="196">
        <v>1</v>
      </c>
      <c r="I14" s="193"/>
      <c r="J14" s="178">
        <f t="shared" si="0"/>
        <v>2</v>
      </c>
    </row>
    <row r="15" spans="1:22" ht="15.75" thickBot="1">
      <c r="A15" s="153" t="s">
        <v>9</v>
      </c>
      <c r="B15" s="177">
        <f>SUM(B5:B14)</f>
        <v>278</v>
      </c>
      <c r="C15" s="177">
        <f t="shared" ref="C15:D15" si="3">SUM(C5:C14)</f>
        <v>117</v>
      </c>
      <c r="D15" s="179">
        <f t="shared" si="3"/>
        <v>395</v>
      </c>
      <c r="F15" s="153" t="s">
        <v>9</v>
      </c>
      <c r="G15" s="177">
        <f>SUM(G5:G14)</f>
        <v>146</v>
      </c>
      <c r="H15" s="177">
        <f t="shared" ref="H15:I15" si="4">SUM(H5:H14)</f>
        <v>122</v>
      </c>
      <c r="I15" s="177">
        <f t="shared" si="4"/>
        <v>127</v>
      </c>
      <c r="J15" s="178">
        <f t="shared" si="0"/>
        <v>395</v>
      </c>
    </row>
    <row r="16" spans="1:22" ht="6" customHeight="1"/>
    <row r="17" spans="1:15" s="278" customFormat="1" ht="15.75">
      <c r="A17" s="277" t="s">
        <v>355</v>
      </c>
    </row>
    <row r="18" spans="1:15" s="278" customFormat="1">
      <c r="A18" s="278" t="s">
        <v>326</v>
      </c>
      <c r="F18" s="278" t="s">
        <v>354</v>
      </c>
      <c r="L18" s="278" t="s">
        <v>287</v>
      </c>
    </row>
    <row r="19" spans="1:15" ht="6.75" customHeight="1" thickBot="1"/>
    <row r="20" spans="1:15" ht="15.75" thickBot="1">
      <c r="B20" s="156" t="s">
        <v>24</v>
      </c>
      <c r="C20" s="157" t="s">
        <v>25</v>
      </c>
      <c r="D20" s="266" t="s">
        <v>9</v>
      </c>
      <c r="G20" s="156" t="s">
        <v>62</v>
      </c>
      <c r="H20" s="156" t="s">
        <v>63</v>
      </c>
      <c r="I20" s="157" t="s">
        <v>64</v>
      </c>
      <c r="J20" s="154" t="s">
        <v>9</v>
      </c>
      <c r="M20" s="156" t="s">
        <v>24</v>
      </c>
      <c r="N20" s="157" t="s">
        <v>25</v>
      </c>
      <c r="O20" s="266" t="s">
        <v>9</v>
      </c>
    </row>
    <row r="21" spans="1:15" ht="15.75" thickBot="1">
      <c r="A21" s="264" t="s">
        <v>339</v>
      </c>
      <c r="B21" s="188">
        <v>1</v>
      </c>
      <c r="C21" s="189">
        <v>1</v>
      </c>
      <c r="D21" s="176">
        <f>SUM(B21:C21)</f>
        <v>2</v>
      </c>
      <c r="F21" s="264" t="s">
        <v>339</v>
      </c>
      <c r="G21" s="194"/>
      <c r="H21" s="194">
        <v>1</v>
      </c>
      <c r="I21" s="189">
        <v>1</v>
      </c>
      <c r="J21" s="178">
        <f t="shared" ref="J21:J31" si="5">SUM(G21:I21)</f>
        <v>2</v>
      </c>
      <c r="L21" s="264" t="s">
        <v>62</v>
      </c>
      <c r="M21" s="267">
        <v>10</v>
      </c>
      <c r="N21" s="268">
        <v>6</v>
      </c>
      <c r="O21" s="197">
        <f t="shared" ref="O21:O23" si="6">SUM(M21:N21)</f>
        <v>16</v>
      </c>
    </row>
    <row r="22" spans="1:15" ht="15.75" thickBot="1">
      <c r="A22" s="264" t="s">
        <v>159</v>
      </c>
      <c r="B22" s="190">
        <v>2</v>
      </c>
      <c r="C22" s="191">
        <v>1</v>
      </c>
      <c r="D22" s="176">
        <f t="shared" ref="D22:D30" si="7">SUM(B22:C22)</f>
        <v>3</v>
      </c>
      <c r="F22" s="264" t="s">
        <v>159</v>
      </c>
      <c r="G22" s="195">
        <v>1</v>
      </c>
      <c r="H22" s="195">
        <v>1</v>
      </c>
      <c r="I22" s="191">
        <v>1</v>
      </c>
      <c r="J22" s="178">
        <f t="shared" si="5"/>
        <v>3</v>
      </c>
      <c r="L22" s="264" t="s">
        <v>63</v>
      </c>
      <c r="M22" s="190">
        <v>7</v>
      </c>
      <c r="N22" s="191">
        <v>4</v>
      </c>
      <c r="O22" s="197">
        <f t="shared" si="6"/>
        <v>11</v>
      </c>
    </row>
    <row r="23" spans="1:15" ht="15.75" thickBot="1">
      <c r="A23" s="264" t="s">
        <v>160</v>
      </c>
      <c r="B23" s="190"/>
      <c r="C23" s="191">
        <v>2</v>
      </c>
      <c r="D23" s="176">
        <f t="shared" si="7"/>
        <v>2</v>
      </c>
      <c r="F23" s="264" t="s">
        <v>160</v>
      </c>
      <c r="G23" s="195">
        <v>1</v>
      </c>
      <c r="H23" s="195">
        <v>1</v>
      </c>
      <c r="I23" s="191"/>
      <c r="J23" s="178">
        <f t="shared" si="5"/>
        <v>2</v>
      </c>
      <c r="L23" s="264" t="s">
        <v>64</v>
      </c>
      <c r="M23" s="192">
        <v>10</v>
      </c>
      <c r="N23" s="193">
        <v>2</v>
      </c>
      <c r="O23" s="197">
        <f t="shared" si="6"/>
        <v>12</v>
      </c>
    </row>
    <row r="24" spans="1:15" ht="15.75" thickBot="1">
      <c r="A24" s="264" t="s">
        <v>161</v>
      </c>
      <c r="B24" s="190">
        <v>4</v>
      </c>
      <c r="C24" s="191">
        <v>2</v>
      </c>
      <c r="D24" s="176">
        <f t="shared" si="7"/>
        <v>6</v>
      </c>
      <c r="F24" s="264" t="s">
        <v>161</v>
      </c>
      <c r="G24" s="195">
        <v>2</v>
      </c>
      <c r="H24" s="195">
        <v>3</v>
      </c>
      <c r="I24" s="191">
        <v>1</v>
      </c>
      <c r="J24" s="178">
        <f t="shared" si="5"/>
        <v>6</v>
      </c>
      <c r="L24" s="153" t="s">
        <v>9</v>
      </c>
      <c r="M24" s="177">
        <f>SUM(M21:M23)</f>
        <v>27</v>
      </c>
      <c r="N24" s="177">
        <f>SUM(N21:N23)</f>
        <v>12</v>
      </c>
      <c r="O24" s="177">
        <f>SUM(O21:O23)</f>
        <v>39</v>
      </c>
    </row>
    <row r="25" spans="1:15" ht="15.75" thickBot="1">
      <c r="A25" s="264" t="s">
        <v>162</v>
      </c>
      <c r="B25" s="190">
        <v>2</v>
      </c>
      <c r="C25" s="191">
        <v>1</v>
      </c>
      <c r="D25" s="176">
        <f t="shared" si="7"/>
        <v>3</v>
      </c>
      <c r="F25" s="264" t="s">
        <v>162</v>
      </c>
      <c r="G25" s="195">
        <v>2</v>
      </c>
      <c r="H25" s="195">
        <v>1</v>
      </c>
      <c r="I25" s="191"/>
      <c r="J25" s="178">
        <f t="shared" si="5"/>
        <v>3</v>
      </c>
    </row>
    <row r="26" spans="1:15" ht="15.75" thickBot="1">
      <c r="A26" s="264" t="s">
        <v>163</v>
      </c>
      <c r="B26" s="190">
        <v>7</v>
      </c>
      <c r="C26" s="191">
        <v>3</v>
      </c>
      <c r="D26" s="176">
        <f t="shared" si="7"/>
        <v>10</v>
      </c>
      <c r="F26" s="264" t="s">
        <v>163</v>
      </c>
      <c r="G26" s="195">
        <v>4</v>
      </c>
      <c r="H26" s="195">
        <v>1</v>
      </c>
      <c r="I26" s="191">
        <v>5</v>
      </c>
      <c r="J26" s="178">
        <f t="shared" si="5"/>
        <v>10</v>
      </c>
    </row>
    <row r="27" spans="1:15" ht="15.75" thickBot="1">
      <c r="A27" s="264" t="s">
        <v>164</v>
      </c>
      <c r="B27" s="190">
        <v>9</v>
      </c>
      <c r="C27" s="191">
        <v>1</v>
      </c>
      <c r="D27" s="176">
        <f t="shared" si="7"/>
        <v>10</v>
      </c>
      <c r="F27" s="264" t="s">
        <v>164</v>
      </c>
      <c r="G27" s="195">
        <v>4</v>
      </c>
      <c r="H27" s="195">
        <v>3</v>
      </c>
      <c r="I27" s="191">
        <v>3</v>
      </c>
      <c r="J27" s="178">
        <f t="shared" si="5"/>
        <v>10</v>
      </c>
    </row>
    <row r="28" spans="1:15" ht="15.75" thickBot="1">
      <c r="A28" s="264" t="s">
        <v>165</v>
      </c>
      <c r="B28" s="190">
        <v>1</v>
      </c>
      <c r="C28" s="191">
        <v>1</v>
      </c>
      <c r="D28" s="176">
        <f t="shared" si="7"/>
        <v>2</v>
      </c>
      <c r="F28" s="264" t="s">
        <v>165</v>
      </c>
      <c r="G28" s="195">
        <v>1</v>
      </c>
      <c r="H28" s="195"/>
      <c r="I28" s="191">
        <v>1</v>
      </c>
      <c r="J28" s="178">
        <f t="shared" si="5"/>
        <v>2</v>
      </c>
    </row>
    <row r="29" spans="1:15" ht="15.75" thickBot="1">
      <c r="A29" s="264" t="s">
        <v>340</v>
      </c>
      <c r="B29" s="190">
        <v>1</v>
      </c>
      <c r="C29" s="191"/>
      <c r="D29" s="176">
        <f t="shared" si="7"/>
        <v>1</v>
      </c>
      <c r="F29" s="264" t="s">
        <v>340</v>
      </c>
      <c r="G29" s="195">
        <v>1</v>
      </c>
      <c r="H29" s="195"/>
      <c r="I29" s="191"/>
      <c r="J29" s="178">
        <f t="shared" si="5"/>
        <v>1</v>
      </c>
    </row>
    <row r="30" spans="1:15" ht="15.75" thickBot="1">
      <c r="A30" s="264" t="s">
        <v>175</v>
      </c>
      <c r="B30" s="192"/>
      <c r="C30" s="193"/>
      <c r="D30" s="176">
        <f t="shared" si="7"/>
        <v>0</v>
      </c>
      <c r="F30" s="264" t="s">
        <v>175</v>
      </c>
      <c r="G30" s="196"/>
      <c r="H30" s="196"/>
      <c r="I30" s="193"/>
      <c r="J30" s="178">
        <f t="shared" si="5"/>
        <v>0</v>
      </c>
    </row>
    <row r="31" spans="1:15" ht="15.75" thickBot="1">
      <c r="A31" s="153" t="s">
        <v>9</v>
      </c>
      <c r="B31" s="177">
        <f>SUM(B21:B30)</f>
        <v>27</v>
      </c>
      <c r="C31" s="177">
        <f t="shared" ref="C31" si="8">SUM(C21:C30)</f>
        <v>12</v>
      </c>
      <c r="D31" s="179">
        <f t="shared" ref="D31" si="9">SUM(D21:D30)</f>
        <v>39</v>
      </c>
      <c r="F31" s="153" t="s">
        <v>9</v>
      </c>
      <c r="G31" s="177">
        <f>SUM(G21:G30)</f>
        <v>16</v>
      </c>
      <c r="H31" s="177">
        <f t="shared" ref="H31:I31" si="10">SUM(H21:H30)</f>
        <v>11</v>
      </c>
      <c r="I31" s="177">
        <f t="shared" si="10"/>
        <v>12</v>
      </c>
      <c r="J31" s="178">
        <f t="shared" si="5"/>
        <v>39</v>
      </c>
    </row>
    <row r="32" spans="1:15" customFormat="1" ht="139.15" customHeight="1"/>
    <row r="33" spans="1:15" s="278" customFormat="1" ht="15.75">
      <c r="A33" s="277" t="s">
        <v>356</v>
      </c>
    </row>
    <row r="34" spans="1:15" s="278" customFormat="1">
      <c r="A34" s="278" t="s">
        <v>326</v>
      </c>
      <c r="F34" s="278" t="s">
        <v>354</v>
      </c>
      <c r="L34" s="278" t="s">
        <v>287</v>
      </c>
    </row>
    <row r="35" spans="1:15" ht="6" customHeight="1" thickBot="1"/>
    <row r="36" spans="1:15" ht="15.75" thickBot="1">
      <c r="B36" s="156" t="s">
        <v>24</v>
      </c>
      <c r="C36" s="157" t="s">
        <v>25</v>
      </c>
      <c r="D36" s="266" t="s">
        <v>9</v>
      </c>
      <c r="G36" s="156" t="s">
        <v>62</v>
      </c>
      <c r="H36" s="156" t="s">
        <v>63</v>
      </c>
      <c r="I36" s="157" t="s">
        <v>64</v>
      </c>
      <c r="J36" s="154" t="s">
        <v>9</v>
      </c>
      <c r="M36" s="156" t="s">
        <v>24</v>
      </c>
      <c r="N36" s="157" t="s">
        <v>25</v>
      </c>
      <c r="O36" s="266" t="s">
        <v>9</v>
      </c>
    </row>
    <row r="37" spans="1:15" ht="15.75" thickBot="1">
      <c r="A37" s="264" t="s">
        <v>339</v>
      </c>
      <c r="B37" s="188">
        <v>1</v>
      </c>
      <c r="C37" s="189"/>
      <c r="D37" s="176">
        <f>SUM(B37:C37)</f>
        <v>1</v>
      </c>
      <c r="F37" s="264" t="s">
        <v>339</v>
      </c>
      <c r="G37" s="194"/>
      <c r="H37" s="194"/>
      <c r="I37" s="189">
        <v>1</v>
      </c>
      <c r="J37" s="178">
        <f t="shared" ref="J37:J47" si="11">SUM(G37:I37)</f>
        <v>1</v>
      </c>
      <c r="L37" s="264" t="s">
        <v>62</v>
      </c>
      <c r="M37" s="267">
        <v>42</v>
      </c>
      <c r="N37" s="268">
        <v>31</v>
      </c>
      <c r="O37" s="197">
        <f t="shared" ref="O37:O39" si="12">SUM(M37:N37)</f>
        <v>73</v>
      </c>
    </row>
    <row r="38" spans="1:15" ht="15.75" thickBot="1">
      <c r="A38" s="264" t="s">
        <v>159</v>
      </c>
      <c r="B38" s="190">
        <v>4</v>
      </c>
      <c r="C38" s="191">
        <v>2</v>
      </c>
      <c r="D38" s="176">
        <f t="shared" ref="D38:D46" si="13">SUM(B38:C38)</f>
        <v>6</v>
      </c>
      <c r="F38" s="264" t="s">
        <v>159</v>
      </c>
      <c r="G38" s="195">
        <v>4</v>
      </c>
      <c r="H38" s="195">
        <v>1</v>
      </c>
      <c r="I38" s="191">
        <v>1</v>
      </c>
      <c r="J38" s="178">
        <f t="shared" si="11"/>
        <v>6</v>
      </c>
      <c r="L38" s="264" t="s">
        <v>63</v>
      </c>
      <c r="M38" s="190">
        <v>44</v>
      </c>
      <c r="N38" s="191">
        <v>12</v>
      </c>
      <c r="O38" s="198">
        <f t="shared" si="12"/>
        <v>56</v>
      </c>
    </row>
    <row r="39" spans="1:15" ht="15.75" thickBot="1">
      <c r="A39" s="264" t="s">
        <v>160</v>
      </c>
      <c r="B39" s="190">
        <v>8</v>
      </c>
      <c r="C39" s="191">
        <v>3</v>
      </c>
      <c r="D39" s="176">
        <f t="shared" si="13"/>
        <v>11</v>
      </c>
      <c r="F39" s="264" t="s">
        <v>160</v>
      </c>
      <c r="G39" s="195">
        <v>3</v>
      </c>
      <c r="H39" s="195">
        <v>4</v>
      </c>
      <c r="I39" s="191">
        <v>4</v>
      </c>
      <c r="J39" s="178">
        <f t="shared" si="11"/>
        <v>11</v>
      </c>
      <c r="L39" s="264" t="s">
        <v>64</v>
      </c>
      <c r="M39" s="192">
        <v>38</v>
      </c>
      <c r="N39" s="193">
        <v>14</v>
      </c>
      <c r="O39" s="198">
        <f t="shared" si="12"/>
        <v>52</v>
      </c>
    </row>
    <row r="40" spans="1:15" ht="15.75" thickBot="1">
      <c r="A40" s="264" t="s">
        <v>161</v>
      </c>
      <c r="B40" s="190">
        <v>10</v>
      </c>
      <c r="C40" s="191">
        <v>8</v>
      </c>
      <c r="D40" s="176">
        <f t="shared" si="13"/>
        <v>18</v>
      </c>
      <c r="F40" s="264" t="s">
        <v>161</v>
      </c>
      <c r="G40" s="195">
        <v>7</v>
      </c>
      <c r="H40" s="195">
        <v>8</v>
      </c>
      <c r="I40" s="191">
        <v>3</v>
      </c>
      <c r="J40" s="178">
        <f t="shared" si="11"/>
        <v>18</v>
      </c>
      <c r="L40" s="153" t="s">
        <v>9</v>
      </c>
      <c r="M40" s="177">
        <v>3315</v>
      </c>
      <c r="N40" s="177">
        <v>1661.5</v>
      </c>
      <c r="O40" s="179">
        <f>SUM(O37:O39)</f>
        <v>181</v>
      </c>
    </row>
    <row r="41" spans="1:15" ht="15.75" thickBot="1">
      <c r="A41" s="264" t="s">
        <v>162</v>
      </c>
      <c r="B41" s="190">
        <v>15</v>
      </c>
      <c r="C41" s="191">
        <v>6</v>
      </c>
      <c r="D41" s="176">
        <f t="shared" si="13"/>
        <v>21</v>
      </c>
      <c r="F41" s="264" t="s">
        <v>162</v>
      </c>
      <c r="G41" s="195">
        <v>7</v>
      </c>
      <c r="H41" s="195">
        <v>9</v>
      </c>
      <c r="I41" s="191">
        <v>5</v>
      </c>
      <c r="J41" s="178">
        <f t="shared" si="11"/>
        <v>21</v>
      </c>
    </row>
    <row r="42" spans="1:15" ht="15.75" thickBot="1">
      <c r="A42" s="264" t="s">
        <v>163</v>
      </c>
      <c r="B42" s="190">
        <v>19</v>
      </c>
      <c r="C42" s="191">
        <v>9</v>
      </c>
      <c r="D42" s="176">
        <f t="shared" si="13"/>
        <v>28</v>
      </c>
      <c r="F42" s="264" t="s">
        <v>163</v>
      </c>
      <c r="G42" s="195">
        <v>13</v>
      </c>
      <c r="H42" s="195">
        <v>8</v>
      </c>
      <c r="I42" s="191">
        <v>7</v>
      </c>
      <c r="J42" s="178">
        <f t="shared" si="11"/>
        <v>28</v>
      </c>
    </row>
    <row r="43" spans="1:15" ht="15.75" thickBot="1">
      <c r="A43" s="264" t="s">
        <v>164</v>
      </c>
      <c r="B43" s="190">
        <v>33</v>
      </c>
      <c r="C43" s="191">
        <v>13</v>
      </c>
      <c r="D43" s="176">
        <f t="shared" si="13"/>
        <v>46</v>
      </c>
      <c r="F43" s="264" t="s">
        <v>164</v>
      </c>
      <c r="G43" s="195">
        <v>18</v>
      </c>
      <c r="H43" s="195">
        <v>12</v>
      </c>
      <c r="I43" s="191">
        <v>16</v>
      </c>
      <c r="J43" s="178">
        <f t="shared" si="11"/>
        <v>46</v>
      </c>
    </row>
    <row r="44" spans="1:15" ht="15.75" thickBot="1">
      <c r="A44" s="264" t="s">
        <v>165</v>
      </c>
      <c r="B44" s="190">
        <v>14</v>
      </c>
      <c r="C44" s="191">
        <v>12</v>
      </c>
      <c r="D44" s="176">
        <f t="shared" si="13"/>
        <v>26</v>
      </c>
      <c r="F44" s="264" t="s">
        <v>165</v>
      </c>
      <c r="G44" s="195">
        <v>11</v>
      </c>
      <c r="H44" s="195">
        <v>7</v>
      </c>
      <c r="I44" s="191">
        <v>8</v>
      </c>
      <c r="J44" s="178">
        <f t="shared" si="11"/>
        <v>26</v>
      </c>
    </row>
    <row r="45" spans="1:15" ht="15.75" thickBot="1">
      <c r="A45" s="264" t="s">
        <v>340</v>
      </c>
      <c r="B45" s="190">
        <v>19</v>
      </c>
      <c r="C45" s="191">
        <v>4</v>
      </c>
      <c r="D45" s="176">
        <f t="shared" si="13"/>
        <v>23</v>
      </c>
      <c r="F45" s="264" t="s">
        <v>340</v>
      </c>
      <c r="G45" s="195">
        <v>10</v>
      </c>
      <c r="H45" s="195">
        <v>6</v>
      </c>
      <c r="I45" s="191">
        <v>7</v>
      </c>
      <c r="J45" s="178">
        <f t="shared" si="11"/>
        <v>23</v>
      </c>
    </row>
    <row r="46" spans="1:15" ht="15.75" thickBot="1">
      <c r="A46" s="264" t="s">
        <v>175</v>
      </c>
      <c r="B46" s="192">
        <v>1</v>
      </c>
      <c r="C46" s="193"/>
      <c r="D46" s="176">
        <f t="shared" si="13"/>
        <v>1</v>
      </c>
      <c r="F46" s="264" t="s">
        <v>175</v>
      </c>
      <c r="G46" s="196"/>
      <c r="H46" s="196">
        <v>1</v>
      </c>
      <c r="I46" s="193"/>
      <c r="J46" s="178">
        <f t="shared" si="11"/>
        <v>1</v>
      </c>
    </row>
    <row r="47" spans="1:15" ht="15.75" thickBot="1">
      <c r="A47" s="153" t="s">
        <v>9</v>
      </c>
      <c r="B47" s="177">
        <f>SUM(B37:B46)</f>
        <v>124</v>
      </c>
      <c r="C47" s="177">
        <f t="shared" ref="C47" si="14">SUM(C37:C46)</f>
        <v>57</v>
      </c>
      <c r="D47" s="179">
        <f t="shared" ref="D47" si="15">SUM(D37:D46)</f>
        <v>181</v>
      </c>
      <c r="F47" s="153" t="s">
        <v>9</v>
      </c>
      <c r="G47" s="177">
        <f>SUM(G37:G46)</f>
        <v>73</v>
      </c>
      <c r="H47" s="177">
        <f t="shared" ref="H47:I47" si="16">SUM(H37:H46)</f>
        <v>56</v>
      </c>
      <c r="I47" s="177">
        <f t="shared" si="16"/>
        <v>52</v>
      </c>
      <c r="J47" s="178">
        <f t="shared" si="11"/>
        <v>181</v>
      </c>
    </row>
    <row r="48" spans="1:15" ht="7.5" customHeight="1"/>
    <row r="49" spans="1:15" s="278" customFormat="1" ht="15.75">
      <c r="A49" s="277" t="s">
        <v>358</v>
      </c>
    </row>
    <row r="50" spans="1:15" s="278" customFormat="1">
      <c r="A50" s="278" t="s">
        <v>326</v>
      </c>
      <c r="F50" s="278" t="s">
        <v>354</v>
      </c>
      <c r="L50" s="278" t="s">
        <v>287</v>
      </c>
    </row>
    <row r="51" spans="1:15" ht="8.25" customHeight="1" thickBot="1"/>
    <row r="52" spans="1:15" ht="15.75" thickBot="1">
      <c r="A52" s="325"/>
      <c r="B52" s="156" t="s">
        <v>24</v>
      </c>
      <c r="C52" s="324" t="s">
        <v>25</v>
      </c>
      <c r="D52" s="266" t="s">
        <v>9</v>
      </c>
      <c r="E52" s="325"/>
      <c r="F52" s="325"/>
      <c r="G52" s="156" t="s">
        <v>62</v>
      </c>
      <c r="H52" s="156" t="s">
        <v>63</v>
      </c>
      <c r="I52" s="324" t="s">
        <v>64</v>
      </c>
      <c r="J52" s="154" t="s">
        <v>9</v>
      </c>
      <c r="K52" s="325"/>
      <c r="L52" s="325"/>
      <c r="M52" s="156" t="s">
        <v>24</v>
      </c>
      <c r="N52" s="324" t="s">
        <v>25</v>
      </c>
      <c r="O52" s="266" t="s">
        <v>9</v>
      </c>
    </row>
    <row r="53" spans="1:15" ht="15.75" thickBot="1">
      <c r="A53" s="299" t="s">
        <v>339</v>
      </c>
      <c r="B53" s="188">
        <v>1</v>
      </c>
      <c r="C53" s="189"/>
      <c r="D53" s="176">
        <f>SUM(B53:C53)</f>
        <v>1</v>
      </c>
      <c r="E53" s="325"/>
      <c r="F53" s="299" t="s">
        <v>339</v>
      </c>
      <c r="G53" s="194"/>
      <c r="H53" s="194"/>
      <c r="I53" s="189">
        <v>1</v>
      </c>
      <c r="J53" s="178">
        <f t="shared" ref="J53:J63" si="17">SUM(G53:I53)</f>
        <v>1</v>
      </c>
      <c r="K53" s="325"/>
      <c r="L53" s="299" t="s">
        <v>62</v>
      </c>
      <c r="M53" s="267">
        <v>184</v>
      </c>
      <c r="N53" s="268">
        <v>207</v>
      </c>
      <c r="O53" s="197">
        <f t="shared" ref="O53:O55" si="18">SUM(M53:N53)</f>
        <v>391</v>
      </c>
    </row>
    <row r="54" spans="1:15" ht="15.75" thickBot="1">
      <c r="A54" s="299" t="s">
        <v>159</v>
      </c>
      <c r="B54" s="190">
        <v>19</v>
      </c>
      <c r="C54" s="191">
        <v>16</v>
      </c>
      <c r="D54" s="176">
        <f t="shared" ref="D54:D63" si="19">SUM(B54:C54)</f>
        <v>35</v>
      </c>
      <c r="E54" s="325"/>
      <c r="F54" s="299" t="s">
        <v>159</v>
      </c>
      <c r="G54" s="195">
        <v>23</v>
      </c>
      <c r="H54" s="195">
        <v>8</v>
      </c>
      <c r="I54" s="191">
        <v>4</v>
      </c>
      <c r="J54" s="178">
        <f t="shared" si="17"/>
        <v>35</v>
      </c>
      <c r="K54" s="325"/>
      <c r="L54" s="299" t="s">
        <v>63</v>
      </c>
      <c r="M54" s="190">
        <v>237</v>
      </c>
      <c r="N54" s="191">
        <v>73</v>
      </c>
      <c r="O54" s="198">
        <f t="shared" si="18"/>
        <v>310</v>
      </c>
    </row>
    <row r="55" spans="1:15" ht="15.75" thickBot="1">
      <c r="A55" s="299" t="s">
        <v>160</v>
      </c>
      <c r="B55" s="190">
        <v>37</v>
      </c>
      <c r="C55" s="191">
        <v>26</v>
      </c>
      <c r="D55" s="176">
        <f t="shared" si="19"/>
        <v>63</v>
      </c>
      <c r="E55" s="325"/>
      <c r="F55" s="299" t="s">
        <v>160</v>
      </c>
      <c r="G55" s="195">
        <v>20</v>
      </c>
      <c r="H55" s="195">
        <v>20</v>
      </c>
      <c r="I55" s="191">
        <v>23</v>
      </c>
      <c r="J55" s="178">
        <f t="shared" si="17"/>
        <v>63</v>
      </c>
      <c r="K55" s="325"/>
      <c r="L55" s="299" t="s">
        <v>64</v>
      </c>
      <c r="M55" s="192">
        <v>196</v>
      </c>
      <c r="N55" s="193">
        <v>93</v>
      </c>
      <c r="O55" s="198">
        <f t="shared" si="18"/>
        <v>289</v>
      </c>
    </row>
    <row r="56" spans="1:15" ht="15.75" thickBot="1">
      <c r="A56" s="299" t="s">
        <v>161</v>
      </c>
      <c r="B56" s="190">
        <v>60</v>
      </c>
      <c r="C56" s="191">
        <v>58</v>
      </c>
      <c r="D56" s="176">
        <f t="shared" si="19"/>
        <v>118</v>
      </c>
      <c r="E56" s="325"/>
      <c r="F56" s="299" t="s">
        <v>161</v>
      </c>
      <c r="G56" s="195">
        <v>39</v>
      </c>
      <c r="H56" s="195">
        <v>37</v>
      </c>
      <c r="I56" s="191">
        <v>42</v>
      </c>
      <c r="J56" s="178">
        <f t="shared" si="17"/>
        <v>118</v>
      </c>
      <c r="K56" s="325"/>
      <c r="L56" s="153" t="s">
        <v>9</v>
      </c>
      <c r="M56" s="177">
        <f>SUM(M53:M55)</f>
        <v>617</v>
      </c>
      <c r="N56" s="177">
        <f>SUM(N53:N55)</f>
        <v>373</v>
      </c>
      <c r="O56" s="179">
        <f>SUM(O53:O55)</f>
        <v>990</v>
      </c>
    </row>
    <row r="57" spans="1:15" ht="15.75" thickBot="1">
      <c r="A57" s="299" t="s">
        <v>162</v>
      </c>
      <c r="B57" s="190">
        <v>76</v>
      </c>
      <c r="C57" s="191">
        <v>38</v>
      </c>
      <c r="D57" s="176">
        <f t="shared" si="19"/>
        <v>114</v>
      </c>
      <c r="E57" s="325"/>
      <c r="F57" s="299" t="s">
        <v>162</v>
      </c>
      <c r="G57" s="195">
        <v>45</v>
      </c>
      <c r="H57" s="195">
        <v>46</v>
      </c>
      <c r="I57" s="191">
        <v>23</v>
      </c>
      <c r="J57" s="178">
        <f t="shared" si="17"/>
        <v>114</v>
      </c>
      <c r="K57" s="325"/>
    </row>
    <row r="58" spans="1:15" ht="15.75" thickBot="1">
      <c r="A58" s="299" t="s">
        <v>163</v>
      </c>
      <c r="B58" s="190">
        <v>76</v>
      </c>
      <c r="C58" s="191">
        <v>48</v>
      </c>
      <c r="D58" s="176">
        <f t="shared" si="19"/>
        <v>124</v>
      </c>
      <c r="E58" s="325"/>
      <c r="F58" s="299" t="s">
        <v>163</v>
      </c>
      <c r="G58" s="195">
        <v>57</v>
      </c>
      <c r="H58" s="195">
        <v>32</v>
      </c>
      <c r="I58" s="191">
        <v>35</v>
      </c>
      <c r="J58" s="178">
        <f t="shared" si="17"/>
        <v>124</v>
      </c>
      <c r="K58" s="325"/>
      <c r="L58" s="325"/>
      <c r="M58" s="325"/>
      <c r="N58" s="325"/>
      <c r="O58" s="325"/>
    </row>
    <row r="59" spans="1:15" ht="15.75" thickBot="1">
      <c r="A59" s="299" t="s">
        <v>164</v>
      </c>
      <c r="B59" s="190">
        <v>181</v>
      </c>
      <c r="C59" s="191">
        <v>81</v>
      </c>
      <c r="D59" s="176">
        <f t="shared" si="19"/>
        <v>262</v>
      </c>
      <c r="E59" s="325"/>
      <c r="F59" s="299" t="s">
        <v>164</v>
      </c>
      <c r="G59" s="195">
        <v>99</v>
      </c>
      <c r="H59" s="195">
        <v>96</v>
      </c>
      <c r="I59" s="191">
        <v>67</v>
      </c>
      <c r="J59" s="178">
        <f t="shared" si="17"/>
        <v>262</v>
      </c>
      <c r="K59" s="325"/>
      <c r="L59" s="325"/>
      <c r="M59" s="325"/>
      <c r="N59" s="325"/>
      <c r="O59" s="325"/>
    </row>
    <row r="60" spans="1:15" ht="15.75" thickBot="1">
      <c r="A60" s="299" t="s">
        <v>165</v>
      </c>
      <c r="B60" s="190">
        <v>77</v>
      </c>
      <c r="C60" s="191">
        <v>80</v>
      </c>
      <c r="D60" s="176">
        <f t="shared" si="19"/>
        <v>157</v>
      </c>
      <c r="E60" s="325"/>
      <c r="F60" s="299" t="s">
        <v>165</v>
      </c>
      <c r="G60" s="195">
        <v>73</v>
      </c>
      <c r="H60" s="195">
        <v>39</v>
      </c>
      <c r="I60" s="191">
        <v>45</v>
      </c>
      <c r="J60" s="178">
        <f t="shared" si="17"/>
        <v>157</v>
      </c>
      <c r="K60" s="325"/>
      <c r="L60" s="325"/>
      <c r="M60" s="325"/>
      <c r="N60" s="325"/>
      <c r="O60" s="325"/>
    </row>
    <row r="61" spans="1:15" ht="15.75" thickBot="1">
      <c r="A61" s="299" t="s">
        <v>340</v>
      </c>
      <c r="B61" s="190">
        <v>83</v>
      </c>
      <c r="C61" s="191">
        <v>26</v>
      </c>
      <c r="D61" s="176">
        <f t="shared" si="19"/>
        <v>109</v>
      </c>
      <c r="E61" s="325"/>
      <c r="F61" s="299" t="s">
        <v>340</v>
      </c>
      <c r="G61" s="195">
        <v>35</v>
      </c>
      <c r="H61" s="195">
        <v>25</v>
      </c>
      <c r="I61" s="191">
        <v>49</v>
      </c>
      <c r="J61" s="178">
        <f t="shared" si="17"/>
        <v>109</v>
      </c>
      <c r="K61" s="325"/>
      <c r="L61" s="325"/>
      <c r="M61" s="325"/>
      <c r="N61" s="325"/>
      <c r="O61" s="325"/>
    </row>
    <row r="62" spans="1:15" ht="15.75" thickBot="1">
      <c r="A62" s="299" t="s">
        <v>175</v>
      </c>
      <c r="B62" s="192">
        <v>7</v>
      </c>
      <c r="C62" s="193"/>
      <c r="D62" s="176">
        <f t="shared" si="19"/>
        <v>7</v>
      </c>
      <c r="E62" s="325"/>
      <c r="F62" s="299" t="s">
        <v>175</v>
      </c>
      <c r="G62" s="196"/>
      <c r="H62" s="196">
        <v>7</v>
      </c>
      <c r="I62" s="193"/>
      <c r="J62" s="178">
        <f t="shared" si="17"/>
        <v>7</v>
      </c>
      <c r="K62" s="325"/>
      <c r="L62" s="325"/>
      <c r="M62" s="325"/>
      <c r="N62" s="325"/>
      <c r="O62" s="325"/>
    </row>
    <row r="63" spans="1:15" ht="15.75" thickBot="1">
      <c r="A63" s="153" t="s">
        <v>9</v>
      </c>
      <c r="B63" s="177">
        <f>SUM(B53:B62)</f>
        <v>617</v>
      </c>
      <c r="C63" s="177">
        <f>SUM(C53:C62)</f>
        <v>373</v>
      </c>
      <c r="D63" s="179">
        <f t="shared" si="19"/>
        <v>990</v>
      </c>
      <c r="E63" s="325"/>
      <c r="F63" s="153" t="s">
        <v>9</v>
      </c>
      <c r="G63" s="177">
        <f>SUM(G53:G62)</f>
        <v>391</v>
      </c>
      <c r="H63" s="177">
        <f t="shared" ref="H63:I63" si="20">SUM(H53:H62)</f>
        <v>310</v>
      </c>
      <c r="I63" s="177">
        <f t="shared" si="20"/>
        <v>289</v>
      </c>
      <c r="J63" s="178">
        <f t="shared" si="17"/>
        <v>990</v>
      </c>
      <c r="K63" s="325"/>
      <c r="L63" s="325"/>
      <c r="M63" s="325"/>
      <c r="N63" s="325"/>
      <c r="O63" s="325"/>
    </row>
    <row r="64" spans="1:15" s="278" customFormat="1" ht="144.6" customHeight="1">
      <c r="A64" s="277"/>
    </row>
    <row r="65" spans="1:15" s="278" customFormat="1" ht="15.75">
      <c r="A65" s="277" t="s">
        <v>357</v>
      </c>
    </row>
    <row r="66" spans="1:15" s="278" customFormat="1">
      <c r="A66" s="278" t="s">
        <v>326</v>
      </c>
      <c r="F66" s="278" t="s">
        <v>354</v>
      </c>
      <c r="L66" s="278" t="s">
        <v>287</v>
      </c>
    </row>
    <row r="67" spans="1:15" ht="6" customHeight="1" thickBot="1"/>
    <row r="68" spans="1:15" ht="15.75" thickBot="1">
      <c r="B68" s="156" t="s">
        <v>24</v>
      </c>
      <c r="C68" s="157" t="s">
        <v>25</v>
      </c>
      <c r="D68" s="266" t="s">
        <v>9</v>
      </c>
      <c r="G68" s="156" t="s">
        <v>62</v>
      </c>
      <c r="H68" s="156" t="s">
        <v>63</v>
      </c>
      <c r="I68" s="157" t="s">
        <v>64</v>
      </c>
      <c r="J68" s="154" t="s">
        <v>9</v>
      </c>
      <c r="M68" s="554" t="s">
        <v>24</v>
      </c>
      <c r="N68" s="555" t="s">
        <v>25</v>
      </c>
      <c r="O68" s="266" t="s">
        <v>9</v>
      </c>
    </row>
    <row r="69" spans="1:15" ht="15.75" thickBot="1">
      <c r="A69" s="264" t="s">
        <v>339</v>
      </c>
      <c r="B69" s="188">
        <v>1</v>
      </c>
      <c r="C69" s="189">
        <v>0</v>
      </c>
      <c r="D69" s="176">
        <f>SUM(B69:C69)</f>
        <v>1</v>
      </c>
      <c r="F69" s="264" t="s">
        <v>339</v>
      </c>
      <c r="G69" s="194"/>
      <c r="H69" s="194">
        <v>0</v>
      </c>
      <c r="I69" s="189">
        <v>1</v>
      </c>
      <c r="J69" s="178">
        <f t="shared" ref="J69:J79" si="21">SUM(G69:I69)</f>
        <v>1</v>
      </c>
      <c r="L69" s="549" t="s">
        <v>62</v>
      </c>
      <c r="M69" s="552">
        <f>119+994</f>
        <v>1113</v>
      </c>
      <c r="N69" s="553">
        <f>163+804.5</f>
        <v>967.5</v>
      </c>
      <c r="O69" s="544">
        <f t="shared" ref="O69:O71" si="22">SUM(M69:N69)</f>
        <v>2080.5</v>
      </c>
    </row>
    <row r="70" spans="1:15" ht="15.75" thickBot="1">
      <c r="A70" s="264" t="s">
        <v>159</v>
      </c>
      <c r="B70" s="190">
        <v>61</v>
      </c>
      <c r="C70" s="191">
        <v>29</v>
      </c>
      <c r="D70" s="176">
        <f t="shared" ref="D70:D79" si="23">SUM(B70:C70)</f>
        <v>90</v>
      </c>
      <c r="F70" s="264" t="s">
        <v>159</v>
      </c>
      <c r="G70" s="195">
        <v>56</v>
      </c>
      <c r="H70" s="195">
        <v>8</v>
      </c>
      <c r="I70" s="191">
        <v>26</v>
      </c>
      <c r="J70" s="178">
        <f t="shared" si="21"/>
        <v>90</v>
      </c>
      <c r="L70" s="550" t="s">
        <v>63</v>
      </c>
      <c r="M70" s="547">
        <v>1373.5</v>
      </c>
      <c r="N70" s="124">
        <v>361</v>
      </c>
      <c r="O70" s="544">
        <f t="shared" si="22"/>
        <v>1734.5</v>
      </c>
    </row>
    <row r="71" spans="1:15" ht="15.75" thickBot="1">
      <c r="A71" s="264" t="s">
        <v>160</v>
      </c>
      <c r="B71" s="190">
        <v>209</v>
      </c>
      <c r="C71" s="191">
        <v>87.5</v>
      </c>
      <c r="D71" s="271">
        <f t="shared" si="23"/>
        <v>296.5</v>
      </c>
      <c r="F71" s="264" t="s">
        <v>160</v>
      </c>
      <c r="G71" s="195">
        <v>110.5</v>
      </c>
      <c r="H71" s="195">
        <v>101</v>
      </c>
      <c r="I71" s="191">
        <v>85</v>
      </c>
      <c r="J71" s="270">
        <f t="shared" si="21"/>
        <v>296.5</v>
      </c>
      <c r="L71" s="551" t="s">
        <v>64</v>
      </c>
      <c r="M71" s="547">
        <v>828.5</v>
      </c>
      <c r="N71" s="124">
        <v>333</v>
      </c>
      <c r="O71" s="544">
        <f t="shared" si="22"/>
        <v>1161.5</v>
      </c>
    </row>
    <row r="72" spans="1:15" ht="15.75" thickBot="1">
      <c r="A72" s="264" t="s">
        <v>161</v>
      </c>
      <c r="B72" s="190">
        <v>281.5</v>
      </c>
      <c r="C72" s="191">
        <v>214</v>
      </c>
      <c r="D72" s="271">
        <f t="shared" si="23"/>
        <v>495.5</v>
      </c>
      <c r="F72" s="264" t="s">
        <v>161</v>
      </c>
      <c r="G72" s="195">
        <v>225.5</v>
      </c>
      <c r="H72" s="195">
        <v>171</v>
      </c>
      <c r="I72" s="191">
        <v>99</v>
      </c>
      <c r="J72" s="270">
        <f t="shared" si="21"/>
        <v>495.5</v>
      </c>
      <c r="L72" s="548" t="s">
        <v>9</v>
      </c>
      <c r="M72" s="545">
        <f>SUM(M69:M71)</f>
        <v>3315</v>
      </c>
      <c r="N72" s="546">
        <f>SUM(N69:N71)</f>
        <v>1661.5</v>
      </c>
      <c r="O72" s="269">
        <f>SUM(O69:O71)</f>
        <v>4976.5</v>
      </c>
    </row>
    <row r="73" spans="1:15" ht="15.75" thickBot="1">
      <c r="A73" s="264" t="s">
        <v>162</v>
      </c>
      <c r="B73" s="190">
        <v>381.5</v>
      </c>
      <c r="C73" s="191">
        <v>185</v>
      </c>
      <c r="D73" s="271">
        <f t="shared" si="23"/>
        <v>566.5</v>
      </c>
      <c r="F73" s="264" t="s">
        <v>162</v>
      </c>
      <c r="G73" s="195">
        <f>188.5+21</f>
        <v>209.5</v>
      </c>
      <c r="H73" s="195">
        <v>249</v>
      </c>
      <c r="I73" s="191">
        <v>108</v>
      </c>
      <c r="J73" s="270">
        <f t="shared" si="21"/>
        <v>566.5</v>
      </c>
    </row>
    <row r="74" spans="1:15" ht="15.75" thickBot="1">
      <c r="A74" s="264" t="s">
        <v>163</v>
      </c>
      <c r="B74" s="190">
        <v>545</v>
      </c>
      <c r="C74" s="191">
        <v>261</v>
      </c>
      <c r="D74" s="176">
        <f t="shared" si="23"/>
        <v>806</v>
      </c>
      <c r="F74" s="264" t="s">
        <v>163</v>
      </c>
      <c r="G74" s="195">
        <f>354.5+63</f>
        <v>417.5</v>
      </c>
      <c r="H74" s="195">
        <v>228</v>
      </c>
      <c r="I74" s="191">
        <v>160.5</v>
      </c>
      <c r="J74" s="178">
        <f t="shared" si="21"/>
        <v>806</v>
      </c>
    </row>
    <row r="75" spans="1:15" ht="15.75" thickBot="1">
      <c r="A75" s="264" t="s">
        <v>164</v>
      </c>
      <c r="B75" s="190">
        <v>898</v>
      </c>
      <c r="C75" s="191">
        <v>365</v>
      </c>
      <c r="D75" s="176">
        <f t="shared" si="23"/>
        <v>1263</v>
      </c>
      <c r="F75" s="264" t="s">
        <v>164</v>
      </c>
      <c r="G75" s="195">
        <f>355.5+113</f>
        <v>468.5</v>
      </c>
      <c r="H75" s="195">
        <v>463.5</v>
      </c>
      <c r="I75" s="191">
        <v>331</v>
      </c>
      <c r="J75" s="178">
        <f t="shared" si="21"/>
        <v>1263</v>
      </c>
    </row>
    <row r="76" spans="1:15" ht="15.75" thickBot="1">
      <c r="A76" s="264" t="s">
        <v>165</v>
      </c>
      <c r="B76" s="190">
        <v>469</v>
      </c>
      <c r="C76" s="191">
        <v>359</v>
      </c>
      <c r="D76" s="176">
        <f t="shared" si="23"/>
        <v>828</v>
      </c>
      <c r="F76" s="264" t="s">
        <v>165</v>
      </c>
      <c r="G76" s="195">
        <f>291+32</f>
        <v>323</v>
      </c>
      <c r="H76" s="195">
        <v>339</v>
      </c>
      <c r="I76" s="191">
        <v>166</v>
      </c>
      <c r="J76" s="178">
        <f t="shared" si="21"/>
        <v>828</v>
      </c>
    </row>
    <row r="77" spans="1:15" ht="15.75" thickBot="1">
      <c r="A77" s="264" t="s">
        <v>340</v>
      </c>
      <c r="B77" s="190">
        <v>411</v>
      </c>
      <c r="C77" s="191">
        <v>161</v>
      </c>
      <c r="D77" s="176">
        <f t="shared" si="23"/>
        <v>572</v>
      </c>
      <c r="F77" s="264" t="s">
        <v>340</v>
      </c>
      <c r="G77" s="195">
        <f>53+191</f>
        <v>244</v>
      </c>
      <c r="H77" s="195">
        <v>143</v>
      </c>
      <c r="I77" s="191">
        <v>185</v>
      </c>
      <c r="J77" s="178">
        <f t="shared" si="21"/>
        <v>572</v>
      </c>
    </row>
    <row r="78" spans="1:15" ht="15.75" thickBot="1">
      <c r="A78" s="264" t="s">
        <v>175</v>
      </c>
      <c r="B78" s="192">
        <v>58</v>
      </c>
      <c r="C78" s="193"/>
      <c r="D78" s="176">
        <f t="shared" si="23"/>
        <v>58</v>
      </c>
      <c r="F78" s="264" t="s">
        <v>175</v>
      </c>
      <c r="G78" s="196">
        <v>26</v>
      </c>
      <c r="H78" s="196">
        <v>32</v>
      </c>
      <c r="I78" s="193"/>
      <c r="J78" s="178">
        <f t="shared" si="21"/>
        <v>58</v>
      </c>
    </row>
    <row r="79" spans="1:15" ht="15.75" thickBot="1">
      <c r="A79" s="153" t="s">
        <v>9</v>
      </c>
      <c r="B79" s="269">
        <f>SUM(B69:B78)</f>
        <v>3315</v>
      </c>
      <c r="C79" s="269">
        <f>SUM(C69:C78)</f>
        <v>1661.5</v>
      </c>
      <c r="D79" s="270">
        <f t="shared" si="23"/>
        <v>4976.5</v>
      </c>
      <c r="F79" s="153" t="s">
        <v>9</v>
      </c>
      <c r="G79" s="269">
        <f>SUM(G69:G78)</f>
        <v>2080.5</v>
      </c>
      <c r="H79" s="269">
        <f t="shared" ref="H79:I79" si="24">SUM(H69:H78)</f>
        <v>1734.5</v>
      </c>
      <c r="I79" s="269">
        <f t="shared" si="24"/>
        <v>1161.5</v>
      </c>
      <c r="J79" s="270">
        <f t="shared" si="21"/>
        <v>4976.5</v>
      </c>
    </row>
    <row r="80" spans="1:15" ht="7.5" customHeight="1"/>
    <row r="81" spans="1:23" s="59" customFormat="1" ht="15.75">
      <c r="A81" s="276" t="s">
        <v>682</v>
      </c>
      <c r="R81" s="332"/>
    </row>
    <row r="82" spans="1:23" s="59" customFormat="1">
      <c r="A82" s="59" t="s">
        <v>326</v>
      </c>
      <c r="R82" s="332"/>
    </row>
    <row r="83" spans="1:23" s="59" customFormat="1" ht="7.5" customHeight="1" thickBot="1">
      <c r="R83" s="332"/>
    </row>
    <row r="84" spans="1:23" ht="15.75" thickBot="1">
      <c r="B84" s="180" t="s">
        <v>24</v>
      </c>
      <c r="C84" s="180"/>
      <c r="D84" s="180"/>
      <c r="E84" s="180"/>
      <c r="F84" s="180" t="s">
        <v>25</v>
      </c>
      <c r="G84" s="180"/>
      <c r="H84" s="180"/>
      <c r="I84" s="174" t="s">
        <v>9</v>
      </c>
      <c r="J84" s="174"/>
      <c r="K84" s="174"/>
      <c r="L84" s="174"/>
      <c r="R84" s="248"/>
    </row>
    <row r="85" spans="1:23" ht="15.75" thickBot="1">
      <c r="B85" s="156" t="s">
        <v>359</v>
      </c>
      <c r="C85" s="156" t="s">
        <v>202</v>
      </c>
      <c r="D85" s="186" t="s">
        <v>360</v>
      </c>
      <c r="E85" s="187"/>
      <c r="F85" s="156" t="s">
        <v>359</v>
      </c>
      <c r="G85" s="156" t="s">
        <v>202</v>
      </c>
      <c r="H85" s="156" t="s">
        <v>360</v>
      </c>
      <c r="I85" s="153" t="s">
        <v>359</v>
      </c>
      <c r="J85" s="153" t="s">
        <v>202</v>
      </c>
      <c r="K85" s="279" t="s">
        <v>360</v>
      </c>
      <c r="L85" s="265" t="s">
        <v>9</v>
      </c>
    </row>
    <row r="86" spans="1:23" ht="15.75" thickBot="1">
      <c r="A86" s="264" t="s">
        <v>339</v>
      </c>
      <c r="B86" s="188">
        <v>1</v>
      </c>
      <c r="C86" s="194"/>
      <c r="D86" s="182" t="s">
        <v>446</v>
      </c>
      <c r="E86" s="183"/>
      <c r="F86" s="188"/>
      <c r="G86" s="194"/>
      <c r="H86" s="273"/>
      <c r="I86" s="153">
        <f t="shared" ref="I86:I95" si="25">SUM(F86,B86)</f>
        <v>1</v>
      </c>
      <c r="J86" s="153">
        <f t="shared" ref="J86:J95" si="26">SUM(G86,C86)</f>
        <v>0</v>
      </c>
      <c r="K86" s="265">
        <f t="shared" ref="K86:K95" si="27">SUM(D86,H86)</f>
        <v>0</v>
      </c>
      <c r="L86" s="265">
        <f>SUM(I86:K86)</f>
        <v>1</v>
      </c>
    </row>
    <row r="87" spans="1:23" ht="15.75" thickBot="1">
      <c r="A87" s="264" t="s">
        <v>159</v>
      </c>
      <c r="B87" s="190">
        <v>2</v>
      </c>
      <c r="C87" s="195"/>
      <c r="D87" s="184" t="s">
        <v>446</v>
      </c>
      <c r="E87" s="185"/>
      <c r="F87" s="280"/>
      <c r="G87" s="195"/>
      <c r="H87" s="274"/>
      <c r="I87" s="153">
        <f t="shared" si="25"/>
        <v>2</v>
      </c>
      <c r="J87" s="153">
        <f t="shared" si="26"/>
        <v>0</v>
      </c>
      <c r="K87" s="265">
        <f t="shared" si="27"/>
        <v>0</v>
      </c>
      <c r="L87" s="265">
        <f t="shared" ref="L87:L96" si="28">SUM(I87:K87)</f>
        <v>2</v>
      </c>
    </row>
    <row r="88" spans="1:23" ht="15.75" thickBot="1">
      <c r="A88" s="264" t="s">
        <v>160</v>
      </c>
      <c r="B88" s="190">
        <v>7</v>
      </c>
      <c r="C88" s="195"/>
      <c r="D88" s="184">
        <v>2</v>
      </c>
      <c r="E88" s="185"/>
      <c r="F88" s="280">
        <v>2</v>
      </c>
      <c r="G88" s="195"/>
      <c r="H88" s="274">
        <v>7</v>
      </c>
      <c r="I88" s="153">
        <f t="shared" si="25"/>
        <v>9</v>
      </c>
      <c r="J88" s="153">
        <f t="shared" si="26"/>
        <v>0</v>
      </c>
      <c r="K88" s="265">
        <f t="shared" si="27"/>
        <v>9</v>
      </c>
      <c r="L88" s="265">
        <f t="shared" si="28"/>
        <v>18</v>
      </c>
    </row>
    <row r="89" spans="1:23" ht="15.75" thickBot="1">
      <c r="A89" s="264" t="s">
        <v>161</v>
      </c>
      <c r="B89" s="190">
        <v>16</v>
      </c>
      <c r="C89" s="195"/>
      <c r="D89" s="184">
        <v>16</v>
      </c>
      <c r="E89" s="185"/>
      <c r="F89" s="280">
        <v>9</v>
      </c>
      <c r="G89" s="195"/>
      <c r="H89" s="274"/>
      <c r="I89" s="153">
        <f t="shared" si="25"/>
        <v>25</v>
      </c>
      <c r="J89" s="153">
        <f t="shared" si="26"/>
        <v>0</v>
      </c>
      <c r="K89" s="265">
        <f t="shared" si="27"/>
        <v>16</v>
      </c>
      <c r="L89" s="265">
        <f t="shared" si="28"/>
        <v>41</v>
      </c>
    </row>
    <row r="90" spans="1:23" ht="15.75" thickBot="1">
      <c r="A90" s="264" t="s">
        <v>162</v>
      </c>
      <c r="B90" s="190"/>
      <c r="C90" s="195"/>
      <c r="D90" s="184">
        <v>20</v>
      </c>
      <c r="E90" s="185"/>
      <c r="F90" s="280">
        <v>5</v>
      </c>
      <c r="G90" s="195"/>
      <c r="H90" s="274">
        <v>56</v>
      </c>
      <c r="I90" s="153">
        <f t="shared" si="25"/>
        <v>5</v>
      </c>
      <c r="J90" s="153">
        <f t="shared" si="26"/>
        <v>0</v>
      </c>
      <c r="K90" s="265">
        <f t="shared" si="27"/>
        <v>76</v>
      </c>
      <c r="L90" s="265">
        <f t="shared" si="28"/>
        <v>81</v>
      </c>
    </row>
    <row r="91" spans="1:23" ht="15.75" thickBot="1">
      <c r="A91" s="264" t="s">
        <v>163</v>
      </c>
      <c r="B91" s="190">
        <v>4</v>
      </c>
      <c r="C91" s="195"/>
      <c r="D91" s="184" t="s">
        <v>446</v>
      </c>
      <c r="E91" s="185"/>
      <c r="F91" s="280">
        <v>5</v>
      </c>
      <c r="G91" s="195"/>
      <c r="H91" s="274">
        <v>17</v>
      </c>
      <c r="I91" s="153">
        <f t="shared" si="25"/>
        <v>9</v>
      </c>
      <c r="J91" s="153">
        <f t="shared" si="26"/>
        <v>0</v>
      </c>
      <c r="K91" s="265">
        <f t="shared" si="27"/>
        <v>17</v>
      </c>
      <c r="L91" s="265">
        <f t="shared" si="28"/>
        <v>26</v>
      </c>
    </row>
    <row r="92" spans="1:23" ht="15.75" thickBot="1">
      <c r="A92" s="264" t="s">
        <v>164</v>
      </c>
      <c r="B92" s="190">
        <v>10</v>
      </c>
      <c r="C92" s="195">
        <v>9</v>
      </c>
      <c r="D92" s="184">
        <v>36</v>
      </c>
      <c r="E92" s="185"/>
      <c r="F92" s="280">
        <v>6</v>
      </c>
      <c r="G92" s="195"/>
      <c r="H92" s="274">
        <v>41</v>
      </c>
      <c r="I92" s="153">
        <f t="shared" si="25"/>
        <v>16</v>
      </c>
      <c r="J92" s="153">
        <f t="shared" si="26"/>
        <v>9</v>
      </c>
      <c r="K92" s="265">
        <f t="shared" si="27"/>
        <v>77</v>
      </c>
      <c r="L92" s="265">
        <f t="shared" si="28"/>
        <v>102</v>
      </c>
    </row>
    <row r="93" spans="1:23" ht="15.75" thickBot="1">
      <c r="A93" s="264" t="s">
        <v>165</v>
      </c>
      <c r="B93" s="190">
        <v>21</v>
      </c>
      <c r="C93" s="195"/>
      <c r="D93" s="184">
        <v>14</v>
      </c>
      <c r="E93" s="185"/>
      <c r="F93" s="280">
        <v>9</v>
      </c>
      <c r="G93" s="195">
        <v>15</v>
      </c>
      <c r="H93" s="274">
        <v>5</v>
      </c>
      <c r="I93" s="153">
        <f t="shared" si="25"/>
        <v>30</v>
      </c>
      <c r="J93" s="153">
        <f t="shared" si="26"/>
        <v>15</v>
      </c>
      <c r="K93" s="265">
        <f t="shared" si="27"/>
        <v>19</v>
      </c>
      <c r="L93" s="265">
        <f t="shared" si="28"/>
        <v>64</v>
      </c>
    </row>
    <row r="94" spans="1:23" ht="15.75" thickBot="1">
      <c r="A94" s="264" t="s">
        <v>340</v>
      </c>
      <c r="B94" s="190">
        <v>3</v>
      </c>
      <c r="C94" s="195"/>
      <c r="D94" s="184" t="s">
        <v>446</v>
      </c>
      <c r="E94" s="185"/>
      <c r="F94" s="280">
        <v>2</v>
      </c>
      <c r="G94" s="195"/>
      <c r="H94" s="274">
        <v>5</v>
      </c>
      <c r="I94" s="153">
        <f t="shared" si="25"/>
        <v>5</v>
      </c>
      <c r="J94" s="153">
        <f t="shared" si="26"/>
        <v>0</v>
      </c>
      <c r="K94" s="265">
        <f t="shared" si="27"/>
        <v>5</v>
      </c>
      <c r="L94" s="265">
        <f t="shared" si="28"/>
        <v>10</v>
      </c>
    </row>
    <row r="95" spans="1:23" ht="15.75" thickBot="1">
      <c r="A95" s="264" t="s">
        <v>175</v>
      </c>
      <c r="B95" s="192"/>
      <c r="C95" s="196"/>
      <c r="D95" s="184" t="s">
        <v>446</v>
      </c>
      <c r="E95" s="185"/>
      <c r="F95" s="281"/>
      <c r="G95" s="196"/>
      <c r="H95" s="275"/>
      <c r="I95" s="153">
        <f t="shared" si="25"/>
        <v>0</v>
      </c>
      <c r="J95" s="153">
        <f t="shared" si="26"/>
        <v>0</v>
      </c>
      <c r="K95" s="265">
        <f t="shared" si="27"/>
        <v>0</v>
      </c>
      <c r="L95" s="265">
        <f t="shared" si="28"/>
        <v>0</v>
      </c>
    </row>
    <row r="96" spans="1:23" ht="15.75" thickBot="1">
      <c r="A96" s="153" t="s">
        <v>9</v>
      </c>
      <c r="B96" s="153">
        <f>SUM(B86:B95)</f>
        <v>64</v>
      </c>
      <c r="C96" s="153">
        <f>SUM(C86:C95)</f>
        <v>9</v>
      </c>
      <c r="D96" s="174">
        <f>SUM(D86:D95)</f>
        <v>88</v>
      </c>
      <c r="E96" s="174"/>
      <c r="F96" s="153">
        <f>SUM(F86:F95)</f>
        <v>38</v>
      </c>
      <c r="G96" s="153">
        <f t="shared" ref="G96:J96" si="29">SUM(G86:G95)</f>
        <v>15</v>
      </c>
      <c r="H96" s="153">
        <f t="shared" si="29"/>
        <v>131</v>
      </c>
      <c r="I96" s="153">
        <f t="shared" si="29"/>
        <v>102</v>
      </c>
      <c r="J96" s="153">
        <f t="shared" si="29"/>
        <v>24</v>
      </c>
      <c r="K96" s="265">
        <f>SUM(K86:K95)</f>
        <v>219</v>
      </c>
      <c r="L96" s="265">
        <f t="shared" si="28"/>
        <v>345</v>
      </c>
      <c r="S96" s="59"/>
      <c r="T96" s="59"/>
      <c r="U96" s="59"/>
      <c r="V96" s="59"/>
      <c r="W96" s="59"/>
    </row>
    <row r="97" spans="1:23" ht="6.75" customHeight="1">
      <c r="S97" s="59"/>
      <c r="T97" s="59"/>
      <c r="U97" s="59"/>
      <c r="V97" s="59"/>
      <c r="W97" s="59"/>
    </row>
    <row r="98" spans="1:23" s="59" customFormat="1">
      <c r="A98" s="59" t="s">
        <v>354</v>
      </c>
      <c r="S98" s="263"/>
      <c r="T98" s="263"/>
      <c r="U98" s="263"/>
      <c r="V98" s="263"/>
      <c r="W98" s="263"/>
    </row>
    <row r="99" spans="1:23" s="59" customFormat="1" ht="6" customHeight="1" thickBot="1">
      <c r="S99" s="263"/>
      <c r="T99" s="263"/>
      <c r="U99" s="263"/>
      <c r="V99" s="263"/>
      <c r="W99" s="263"/>
    </row>
    <row r="100" spans="1:23" ht="15.75" thickBot="1">
      <c r="B100" s="180" t="s">
        <v>62</v>
      </c>
      <c r="C100" s="180"/>
      <c r="D100" s="180"/>
      <c r="E100" s="187"/>
      <c r="F100" s="180" t="s">
        <v>63</v>
      </c>
      <c r="G100" s="180"/>
      <c r="H100" s="180"/>
      <c r="I100" s="180" t="s">
        <v>64</v>
      </c>
      <c r="J100" s="180"/>
      <c r="K100" s="180"/>
      <c r="L100" s="174" t="s">
        <v>9</v>
      </c>
      <c r="M100" s="174"/>
      <c r="N100" s="174"/>
      <c r="O100" s="170"/>
    </row>
    <row r="101" spans="1:23" ht="15.75" thickBot="1">
      <c r="B101" s="156" t="s">
        <v>359</v>
      </c>
      <c r="C101" s="156" t="s">
        <v>202</v>
      </c>
      <c r="D101" s="156" t="s">
        <v>360</v>
      </c>
      <c r="E101" s="187"/>
      <c r="F101" s="156" t="s">
        <v>359</v>
      </c>
      <c r="G101" s="156" t="s">
        <v>202</v>
      </c>
      <c r="H101" s="156" t="s">
        <v>360</v>
      </c>
      <c r="I101" s="156" t="s">
        <v>359</v>
      </c>
      <c r="J101" s="156" t="s">
        <v>202</v>
      </c>
      <c r="K101" s="186" t="s">
        <v>360</v>
      </c>
      <c r="L101" s="153" t="s">
        <v>359</v>
      </c>
      <c r="M101" s="153" t="s">
        <v>202</v>
      </c>
      <c r="N101" s="153" t="s">
        <v>360</v>
      </c>
      <c r="O101" s="265" t="s">
        <v>9</v>
      </c>
    </row>
    <row r="102" spans="1:23" ht="15.75" thickBot="1">
      <c r="A102" s="264" t="s">
        <v>339</v>
      </c>
      <c r="B102" s="188"/>
      <c r="C102" s="194"/>
      <c r="D102" s="405"/>
      <c r="E102" s="183"/>
      <c r="F102" s="188"/>
      <c r="G102" s="194"/>
      <c r="H102" s="273"/>
      <c r="I102" s="188">
        <v>1</v>
      </c>
      <c r="J102" s="194"/>
      <c r="K102" s="183"/>
      <c r="L102" s="153">
        <f>SUM(B102,F102,I102)</f>
        <v>1</v>
      </c>
      <c r="M102" s="153">
        <f t="shared" ref="M102:N112" si="30">SUM(C102,G102,J102)</f>
        <v>0</v>
      </c>
      <c r="N102" s="153">
        <f t="shared" si="30"/>
        <v>0</v>
      </c>
      <c r="O102" s="265">
        <f t="shared" ref="O102:O112" si="31">SUM(L102:N102)</f>
        <v>1</v>
      </c>
    </row>
    <row r="103" spans="1:23" ht="15.75" thickBot="1">
      <c r="A103" s="264" t="s">
        <v>159</v>
      </c>
      <c r="B103" s="190"/>
      <c r="C103" s="195"/>
      <c r="D103" s="406"/>
      <c r="E103" s="185"/>
      <c r="F103" s="190"/>
      <c r="G103" s="195"/>
      <c r="H103" s="274"/>
      <c r="I103" s="190">
        <v>2</v>
      </c>
      <c r="J103" s="195"/>
      <c r="K103" s="185"/>
      <c r="L103" s="153">
        <f t="shared" ref="L103:L112" si="32">SUM(B103,F103,I103)</f>
        <v>2</v>
      </c>
      <c r="M103" s="153">
        <f t="shared" si="30"/>
        <v>0</v>
      </c>
      <c r="N103" s="153">
        <f t="shared" si="30"/>
        <v>0</v>
      </c>
      <c r="O103" s="265">
        <f t="shared" si="31"/>
        <v>2</v>
      </c>
    </row>
    <row r="104" spans="1:23" ht="15.75" thickBot="1">
      <c r="A104" s="264" t="s">
        <v>160</v>
      </c>
      <c r="B104" s="190">
        <v>3</v>
      </c>
      <c r="C104" s="195"/>
      <c r="D104" s="406">
        <v>7</v>
      </c>
      <c r="E104" s="185"/>
      <c r="F104" s="190">
        <v>6</v>
      </c>
      <c r="G104" s="195"/>
      <c r="H104" s="274">
        <v>2</v>
      </c>
      <c r="I104" s="190"/>
      <c r="J104" s="195"/>
      <c r="K104" s="185"/>
      <c r="L104" s="153">
        <f t="shared" si="32"/>
        <v>9</v>
      </c>
      <c r="M104" s="153">
        <f t="shared" si="30"/>
        <v>0</v>
      </c>
      <c r="N104" s="153">
        <f t="shared" si="30"/>
        <v>9</v>
      </c>
      <c r="O104" s="265">
        <f t="shared" si="31"/>
        <v>18</v>
      </c>
    </row>
    <row r="105" spans="1:23" ht="15.75" thickBot="1">
      <c r="A105" s="264" t="s">
        <v>161</v>
      </c>
      <c r="B105" s="190">
        <v>3</v>
      </c>
      <c r="C105" s="195"/>
      <c r="D105" s="406">
        <v>3</v>
      </c>
      <c r="E105" s="185"/>
      <c r="F105" s="190">
        <v>10</v>
      </c>
      <c r="G105" s="195"/>
      <c r="H105" s="274">
        <v>13</v>
      </c>
      <c r="I105" s="190">
        <v>12</v>
      </c>
      <c r="J105" s="195"/>
      <c r="K105" s="185"/>
      <c r="L105" s="153">
        <f t="shared" si="32"/>
        <v>25</v>
      </c>
      <c r="M105" s="153">
        <f t="shared" si="30"/>
        <v>0</v>
      </c>
      <c r="N105" s="153">
        <f t="shared" si="30"/>
        <v>16</v>
      </c>
      <c r="O105" s="265">
        <f t="shared" si="31"/>
        <v>41</v>
      </c>
    </row>
    <row r="106" spans="1:23" ht="15.75" thickBot="1">
      <c r="A106" s="264" t="s">
        <v>162</v>
      </c>
      <c r="B106" s="190">
        <v>4</v>
      </c>
      <c r="C106" s="195"/>
      <c r="D106" s="406">
        <v>34</v>
      </c>
      <c r="E106" s="185"/>
      <c r="F106" s="190">
        <v>1</v>
      </c>
      <c r="G106" s="195"/>
      <c r="H106" s="274">
        <v>23</v>
      </c>
      <c r="I106" s="190"/>
      <c r="J106" s="195"/>
      <c r="K106" s="185">
        <v>19</v>
      </c>
      <c r="L106" s="153">
        <f t="shared" si="32"/>
        <v>5</v>
      </c>
      <c r="M106" s="153">
        <f t="shared" si="30"/>
        <v>0</v>
      </c>
      <c r="N106" s="153">
        <f t="shared" si="30"/>
        <v>76</v>
      </c>
      <c r="O106" s="265">
        <f t="shared" si="31"/>
        <v>81</v>
      </c>
    </row>
    <row r="107" spans="1:23" ht="15.75" thickBot="1">
      <c r="A107" s="264" t="s">
        <v>163</v>
      </c>
      <c r="B107" s="190"/>
      <c r="C107" s="195"/>
      <c r="D107" s="406">
        <v>17</v>
      </c>
      <c r="E107" s="185"/>
      <c r="F107" s="190">
        <v>6</v>
      </c>
      <c r="G107" s="195"/>
      <c r="H107" s="274"/>
      <c r="I107" s="190">
        <v>3</v>
      </c>
      <c r="J107" s="195"/>
      <c r="K107" s="185"/>
      <c r="L107" s="153">
        <f t="shared" si="32"/>
        <v>9</v>
      </c>
      <c r="M107" s="153">
        <f t="shared" si="30"/>
        <v>0</v>
      </c>
      <c r="N107" s="153">
        <f t="shared" si="30"/>
        <v>17</v>
      </c>
      <c r="O107" s="265">
        <f t="shared" si="31"/>
        <v>26</v>
      </c>
    </row>
    <row r="108" spans="1:23" ht="15.75" thickBot="1">
      <c r="A108" s="264" t="s">
        <v>164</v>
      </c>
      <c r="B108" s="190">
        <v>12</v>
      </c>
      <c r="C108" s="195">
        <v>4</v>
      </c>
      <c r="D108" s="406">
        <v>36</v>
      </c>
      <c r="E108" s="185"/>
      <c r="F108" s="190"/>
      <c r="G108" s="195">
        <v>5</v>
      </c>
      <c r="H108" s="274">
        <v>25</v>
      </c>
      <c r="I108" s="190">
        <v>4</v>
      </c>
      <c r="J108" s="195"/>
      <c r="K108" s="185">
        <v>16</v>
      </c>
      <c r="L108" s="153">
        <f t="shared" si="32"/>
        <v>16</v>
      </c>
      <c r="M108" s="153">
        <f t="shared" si="30"/>
        <v>9</v>
      </c>
      <c r="N108" s="153">
        <f t="shared" si="30"/>
        <v>77</v>
      </c>
      <c r="O108" s="265">
        <f t="shared" si="31"/>
        <v>102</v>
      </c>
    </row>
    <row r="109" spans="1:23" ht="15.75" thickBot="1">
      <c r="A109" s="264" t="s">
        <v>165</v>
      </c>
      <c r="B109" s="190">
        <v>14</v>
      </c>
      <c r="C109" s="195">
        <v>10</v>
      </c>
      <c r="D109" s="406">
        <v>14</v>
      </c>
      <c r="E109" s="185"/>
      <c r="F109" s="190">
        <v>3</v>
      </c>
      <c r="G109" s="195">
        <v>5</v>
      </c>
      <c r="H109" s="274">
        <v>5</v>
      </c>
      <c r="I109" s="190">
        <v>13</v>
      </c>
      <c r="J109" s="195"/>
      <c r="K109" s="185"/>
      <c r="L109" s="153">
        <f t="shared" si="32"/>
        <v>30</v>
      </c>
      <c r="M109" s="153">
        <f t="shared" si="30"/>
        <v>15</v>
      </c>
      <c r="N109" s="153">
        <f t="shared" si="30"/>
        <v>19</v>
      </c>
      <c r="O109" s="265">
        <f t="shared" si="31"/>
        <v>64</v>
      </c>
    </row>
    <row r="110" spans="1:23" ht="15.75" thickBot="1">
      <c r="A110" s="264" t="s">
        <v>340</v>
      </c>
      <c r="B110" s="190">
        <v>2</v>
      </c>
      <c r="C110" s="195"/>
      <c r="D110" s="406">
        <v>5</v>
      </c>
      <c r="E110" s="185"/>
      <c r="F110" s="190"/>
      <c r="G110" s="195"/>
      <c r="H110" s="274"/>
      <c r="I110" s="190">
        <v>3</v>
      </c>
      <c r="J110" s="195"/>
      <c r="K110" s="185"/>
      <c r="L110" s="153">
        <f t="shared" si="32"/>
        <v>5</v>
      </c>
      <c r="M110" s="153">
        <f t="shared" si="30"/>
        <v>0</v>
      </c>
      <c r="N110" s="153">
        <f t="shared" si="30"/>
        <v>5</v>
      </c>
      <c r="O110" s="265">
        <f t="shared" si="31"/>
        <v>10</v>
      </c>
    </row>
    <row r="111" spans="1:23" ht="15.75" thickBot="1">
      <c r="A111" s="264" t="s">
        <v>175</v>
      </c>
      <c r="B111" s="192"/>
      <c r="C111" s="196"/>
      <c r="D111" s="407"/>
      <c r="E111" s="185"/>
      <c r="F111" s="192"/>
      <c r="G111" s="196"/>
      <c r="H111" s="275"/>
      <c r="I111" s="192"/>
      <c r="J111" s="196"/>
      <c r="K111" s="185"/>
      <c r="L111" s="153">
        <f t="shared" si="32"/>
        <v>0</v>
      </c>
      <c r="M111" s="153">
        <f t="shared" si="30"/>
        <v>0</v>
      </c>
      <c r="N111" s="153">
        <f t="shared" si="30"/>
        <v>0</v>
      </c>
      <c r="O111" s="265">
        <f t="shared" si="31"/>
        <v>0</v>
      </c>
    </row>
    <row r="112" spans="1:23" ht="15.75" thickBot="1">
      <c r="A112" s="153" t="s">
        <v>9</v>
      </c>
      <c r="B112" s="153">
        <f>SUM(B102:B111)</f>
        <v>38</v>
      </c>
      <c r="C112" s="153">
        <f>SUM(C102:C111)</f>
        <v>14</v>
      </c>
      <c r="D112" s="265">
        <f>SUM(D102:D111)</f>
        <v>116</v>
      </c>
      <c r="E112" s="170"/>
      <c r="F112" s="153">
        <f t="shared" ref="F112:K112" si="33">SUM(F102:F111)</f>
        <v>26</v>
      </c>
      <c r="G112" s="153">
        <f t="shared" si="33"/>
        <v>10</v>
      </c>
      <c r="H112" s="153">
        <f t="shared" si="33"/>
        <v>68</v>
      </c>
      <c r="I112" s="153">
        <f t="shared" si="33"/>
        <v>38</v>
      </c>
      <c r="J112" s="153">
        <f t="shared" si="33"/>
        <v>0</v>
      </c>
      <c r="K112" s="153">
        <f t="shared" si="33"/>
        <v>35</v>
      </c>
      <c r="L112" s="153">
        <f t="shared" si="32"/>
        <v>102</v>
      </c>
      <c r="M112" s="153">
        <f t="shared" si="30"/>
        <v>24</v>
      </c>
      <c r="N112" s="153">
        <f t="shared" si="30"/>
        <v>219</v>
      </c>
      <c r="O112" s="265">
        <f t="shared" si="31"/>
        <v>345</v>
      </c>
      <c r="S112" s="59"/>
      <c r="T112" s="59"/>
      <c r="U112" s="59"/>
      <c r="V112" s="59"/>
      <c r="W112" s="59"/>
    </row>
    <row r="113" spans="1:23" ht="6.75" customHeight="1">
      <c r="S113" s="59"/>
      <c r="T113" s="59"/>
      <c r="U113" s="59"/>
      <c r="V113" s="59"/>
      <c r="W113" s="59"/>
    </row>
    <row r="114" spans="1:23" s="59" customFormat="1">
      <c r="A114" s="59" t="s">
        <v>287</v>
      </c>
      <c r="S114" s="263"/>
      <c r="T114" s="263"/>
      <c r="U114" s="263"/>
      <c r="V114" s="263"/>
      <c r="W114" s="263"/>
    </row>
    <row r="115" spans="1:23" s="59" customFormat="1" ht="4.5" customHeight="1" thickBot="1">
      <c r="S115" s="263"/>
      <c r="T115" s="263"/>
      <c r="U115" s="263"/>
      <c r="V115" s="263"/>
      <c r="W115" s="263"/>
    </row>
    <row r="116" spans="1:23" ht="15.75" thickBot="1">
      <c r="B116" s="180" t="s">
        <v>24</v>
      </c>
      <c r="C116" s="180"/>
      <c r="D116" s="180"/>
      <c r="E116" s="180"/>
      <c r="F116" s="180" t="s">
        <v>25</v>
      </c>
      <c r="G116" s="180"/>
      <c r="H116" s="180"/>
      <c r="I116" s="174" t="s">
        <v>9</v>
      </c>
      <c r="J116" s="174"/>
      <c r="K116" s="174"/>
      <c r="L116" s="170"/>
      <c r="M116"/>
    </row>
    <row r="117" spans="1:23" ht="15.75" customHeight="1" thickBot="1">
      <c r="B117" s="156" t="s">
        <v>359</v>
      </c>
      <c r="C117" s="156" t="s">
        <v>202</v>
      </c>
      <c r="D117" s="186" t="s">
        <v>360</v>
      </c>
      <c r="E117" s="187"/>
      <c r="F117" s="156" t="s">
        <v>359</v>
      </c>
      <c r="G117" s="156" t="s">
        <v>202</v>
      </c>
      <c r="H117" s="156" t="s">
        <v>360</v>
      </c>
      <c r="I117" s="153" t="s">
        <v>359</v>
      </c>
      <c r="J117" s="153" t="s">
        <v>202</v>
      </c>
      <c r="K117" s="282" t="s">
        <v>360</v>
      </c>
      <c r="L117" s="265" t="s">
        <v>9</v>
      </c>
      <c r="M117"/>
    </row>
    <row r="118" spans="1:23" ht="15.75" thickBot="1">
      <c r="A118" s="264" t="s">
        <v>62</v>
      </c>
      <c r="B118" s="190">
        <v>25</v>
      </c>
      <c r="C118" s="195">
        <v>4</v>
      </c>
      <c r="D118" s="184">
        <v>31</v>
      </c>
      <c r="E118" s="185"/>
      <c r="F118" s="190">
        <v>13</v>
      </c>
      <c r="G118" s="195">
        <v>10</v>
      </c>
      <c r="H118" s="274">
        <v>85</v>
      </c>
      <c r="I118" s="153">
        <f t="shared" ref="I118:J120" si="34">SUM(F118,B118)</f>
        <v>38</v>
      </c>
      <c r="J118" s="153">
        <f t="shared" si="34"/>
        <v>14</v>
      </c>
      <c r="K118" s="153">
        <f>SUM(D118,H118)</f>
        <v>116</v>
      </c>
      <c r="L118" s="265">
        <f t="shared" ref="L118:L121" si="35">SUM(I118:K118)</f>
        <v>168</v>
      </c>
      <c r="M118"/>
    </row>
    <row r="119" spans="1:23" ht="15.75" thickBot="1">
      <c r="A119" s="264" t="s">
        <v>63</v>
      </c>
      <c r="B119" s="190">
        <v>23</v>
      </c>
      <c r="C119" s="195">
        <v>5</v>
      </c>
      <c r="D119" s="184">
        <v>49</v>
      </c>
      <c r="E119" s="185"/>
      <c r="F119" s="190">
        <v>3</v>
      </c>
      <c r="G119" s="195">
        <v>5</v>
      </c>
      <c r="H119" s="274">
        <v>19</v>
      </c>
      <c r="I119" s="153">
        <f t="shared" si="34"/>
        <v>26</v>
      </c>
      <c r="J119" s="153">
        <f t="shared" si="34"/>
        <v>10</v>
      </c>
      <c r="K119" s="153">
        <f>SUM(D119,H119)</f>
        <v>68</v>
      </c>
      <c r="L119" s="265">
        <f t="shared" si="35"/>
        <v>104</v>
      </c>
      <c r="M119"/>
    </row>
    <row r="120" spans="1:23" ht="15.75" thickBot="1">
      <c r="A120" s="264" t="s">
        <v>64</v>
      </c>
      <c r="B120" s="190">
        <v>16</v>
      </c>
      <c r="C120" s="195"/>
      <c r="D120" s="184">
        <v>8</v>
      </c>
      <c r="E120" s="185"/>
      <c r="F120" s="190">
        <v>22</v>
      </c>
      <c r="G120" s="195"/>
      <c r="H120" s="274">
        <v>27</v>
      </c>
      <c r="I120" s="153">
        <f t="shared" si="34"/>
        <v>38</v>
      </c>
      <c r="J120" s="153">
        <f t="shared" si="34"/>
        <v>0</v>
      </c>
      <c r="K120" s="153">
        <f>SUM(D120,H120)</f>
        <v>35</v>
      </c>
      <c r="L120" s="265">
        <f t="shared" si="35"/>
        <v>73</v>
      </c>
      <c r="M120"/>
    </row>
    <row r="121" spans="1:23" ht="15.75" thickBot="1">
      <c r="A121" s="153" t="s">
        <v>9</v>
      </c>
      <c r="B121" s="153">
        <f>SUM(B118:B120)</f>
        <v>64</v>
      </c>
      <c r="C121" s="153">
        <f>SUM(C118:C120)</f>
        <v>9</v>
      </c>
      <c r="D121" s="181">
        <f>SUM(D118:D120)</f>
        <v>88</v>
      </c>
      <c r="E121" s="170"/>
      <c r="F121" s="153">
        <f>SUM(F118:F120)</f>
        <v>38</v>
      </c>
      <c r="G121" s="153">
        <f t="shared" ref="G121:H121" si="36">SUM(G118:G120)</f>
        <v>15</v>
      </c>
      <c r="H121" s="153">
        <f t="shared" si="36"/>
        <v>131</v>
      </c>
      <c r="I121" s="153">
        <f>SUM(I118:I120)</f>
        <v>102</v>
      </c>
      <c r="J121" s="153">
        <f>SUM(J118:J120)</f>
        <v>24</v>
      </c>
      <c r="K121" s="153">
        <f>SUM(K118:K120)</f>
        <v>219</v>
      </c>
      <c r="L121" s="265">
        <f t="shared" si="35"/>
        <v>345</v>
      </c>
      <c r="M121"/>
    </row>
  </sheetData>
  <pageMargins left="0.23622047244094491" right="0.23622047244094491" top="0.74803149606299213" bottom="0.74803149606299213" header="0.31496062992125984" footer="0.31496062992125984"/>
  <pageSetup paperSize="9" scale="80" fitToHeight="0" orientation="landscape" horizontalDpi="4294967293" r:id="rId1"/>
  <headerFooter>
    <oddHeader>&amp;C&amp;"-,Gras"Chapitre V - Organisation
4. CET</oddHeader>
    <oddFooter>&amp;C&amp;"-,Gras"Base de Données Sociales 2023&amp;R&amp;P</oddFooter>
  </headerFooter>
  <rowBreaks count="3" manualBreakCount="3">
    <brk id="32" max="16383" man="1"/>
    <brk id="64" max="16383" man="1"/>
    <brk id="80" max="16383" man="1"/>
  </rowBreaks>
  <colBreaks count="1" manualBreakCount="1">
    <brk id="16" max="11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F8DC-475D-4363-9229-0ADFDB1D3400}">
  <sheetPr>
    <tabColor rgb="FF92D050"/>
  </sheetPr>
  <dimension ref="A1:J53"/>
  <sheetViews>
    <sheetView showGridLines="0" view="pageBreakPreview" zoomScale="60" zoomScaleNormal="100" zoomScalePageLayoutView="80" workbookViewId="0">
      <selection activeCell="K32" sqref="K32"/>
    </sheetView>
  </sheetViews>
  <sheetFormatPr baseColWidth="10" defaultRowHeight="15"/>
  <cols>
    <col min="6" max="6" width="12.5703125" customWidth="1"/>
    <col min="7" max="7" width="12.28515625" customWidth="1"/>
  </cols>
  <sheetData>
    <row r="1" spans="1:10" ht="15.75">
      <c r="A1" s="276" t="s">
        <v>470</v>
      </c>
      <c r="G1" s="276" t="s">
        <v>678</v>
      </c>
    </row>
    <row r="2" spans="1:10" ht="4.5" customHeight="1">
      <c r="A2" s="276"/>
    </row>
    <row r="3" spans="1:10">
      <c r="B3" s="258">
        <f>J18/'I-2.1 Effectif Global'!K6</f>
        <v>3.5273368606701938E-2</v>
      </c>
      <c r="G3" s="368">
        <v>2</v>
      </c>
    </row>
    <row r="4" spans="1:10" ht="5.25" customHeight="1">
      <c r="A4" s="276"/>
    </row>
    <row r="5" spans="1:10" ht="15.75">
      <c r="A5" s="276" t="s">
        <v>468</v>
      </c>
    </row>
    <row r="6" spans="1:10" ht="5.25" customHeight="1" thickBot="1">
      <c r="A6" s="276"/>
    </row>
    <row r="7" spans="1:10" ht="15.75" thickBot="1">
      <c r="B7" s="180" t="s">
        <v>24</v>
      </c>
      <c r="C7" s="180"/>
      <c r="D7" s="180" t="s">
        <v>25</v>
      </c>
      <c r="E7" s="180"/>
      <c r="F7" s="174" t="s">
        <v>9</v>
      </c>
      <c r="G7" s="304"/>
      <c r="H7" s="174"/>
      <c r="I7" s="174"/>
      <c r="J7" s="174"/>
    </row>
    <row r="8" spans="1:10" ht="15.75" thickBot="1">
      <c r="B8" s="554" t="s">
        <v>6</v>
      </c>
      <c r="C8" s="558" t="s">
        <v>67</v>
      </c>
      <c r="D8" s="558" t="s">
        <v>6</v>
      </c>
      <c r="E8" s="559" t="s">
        <v>67</v>
      </c>
      <c r="F8" s="266" t="s">
        <v>24</v>
      </c>
      <c r="G8" s="153" t="s">
        <v>25</v>
      </c>
      <c r="H8" s="153" t="s">
        <v>6</v>
      </c>
      <c r="I8" s="153" t="s">
        <v>67</v>
      </c>
      <c r="J8" s="153" t="s">
        <v>9</v>
      </c>
    </row>
    <row r="9" spans="1:10" ht="15.75" thickBot="1">
      <c r="A9" s="299" t="s">
        <v>339</v>
      </c>
      <c r="B9" s="267"/>
      <c r="C9" s="556"/>
      <c r="D9" s="556"/>
      <c r="E9" s="557"/>
      <c r="F9" s="153">
        <f>B9+C9</f>
        <v>0</v>
      </c>
      <c r="G9" s="153">
        <f>E9+D9</f>
        <v>0</v>
      </c>
      <c r="H9" s="153">
        <f>B9+D9</f>
        <v>0</v>
      </c>
      <c r="I9" s="153">
        <f>C9+E9</f>
        <v>0</v>
      </c>
      <c r="J9" s="153">
        <f>SUM(H9:I9)</f>
        <v>0</v>
      </c>
    </row>
    <row r="10" spans="1:10" ht="15.75" thickBot="1">
      <c r="A10" s="299" t="s">
        <v>159</v>
      </c>
      <c r="B10" s="190"/>
      <c r="C10" s="195"/>
      <c r="D10" s="195"/>
      <c r="E10" s="274"/>
      <c r="F10" s="153">
        <f t="shared" ref="F10:F17" si="0">B10+C10</f>
        <v>0</v>
      </c>
      <c r="G10" s="153">
        <f t="shared" ref="G10:G17" si="1">E10+D10</f>
        <v>0</v>
      </c>
      <c r="H10" s="153">
        <f t="shared" ref="H10:H17" si="2">B10+D10</f>
        <v>0</v>
      </c>
      <c r="I10" s="153">
        <f t="shared" ref="I10:I17" si="3">C10+E10</f>
        <v>0</v>
      </c>
      <c r="J10" s="153">
        <f t="shared" ref="J10:J18" si="4">SUM(H10:I10)</f>
        <v>0</v>
      </c>
    </row>
    <row r="11" spans="1:10" ht="15.75" thickBot="1">
      <c r="A11" s="299" t="s">
        <v>160</v>
      </c>
      <c r="B11" s="190"/>
      <c r="C11" s="195"/>
      <c r="D11" s="195"/>
      <c r="E11" s="274">
        <v>1</v>
      </c>
      <c r="F11" s="153">
        <f t="shared" si="0"/>
        <v>0</v>
      </c>
      <c r="G11" s="153">
        <f t="shared" si="1"/>
        <v>1</v>
      </c>
      <c r="H11" s="153">
        <f t="shared" si="2"/>
        <v>0</v>
      </c>
      <c r="I11" s="153">
        <f t="shared" si="3"/>
        <v>1</v>
      </c>
      <c r="J11" s="153">
        <f t="shared" si="4"/>
        <v>1</v>
      </c>
    </row>
    <row r="12" spans="1:10" ht="15.75" thickBot="1">
      <c r="A12" s="299" t="s">
        <v>161</v>
      </c>
      <c r="B12" s="190">
        <v>3</v>
      </c>
      <c r="C12" s="195">
        <v>2</v>
      </c>
      <c r="D12" s="195"/>
      <c r="E12" s="274">
        <v>1</v>
      </c>
      <c r="F12" s="153">
        <f t="shared" si="0"/>
        <v>5</v>
      </c>
      <c r="G12" s="153">
        <f t="shared" si="1"/>
        <v>1</v>
      </c>
      <c r="H12" s="153">
        <f t="shared" si="2"/>
        <v>3</v>
      </c>
      <c r="I12" s="153">
        <f t="shared" si="3"/>
        <v>3</v>
      </c>
      <c r="J12" s="153">
        <f t="shared" si="4"/>
        <v>6</v>
      </c>
    </row>
    <row r="13" spans="1:10" ht="15.75" thickBot="1">
      <c r="A13" s="299" t="s">
        <v>162</v>
      </c>
      <c r="B13" s="190">
        <v>5</v>
      </c>
      <c r="C13" s="195">
        <v>2</v>
      </c>
      <c r="D13" s="195">
        <v>1</v>
      </c>
      <c r="E13" s="274">
        <v>1</v>
      </c>
      <c r="F13" s="153">
        <f t="shared" si="0"/>
        <v>7</v>
      </c>
      <c r="G13" s="153">
        <f t="shared" si="1"/>
        <v>2</v>
      </c>
      <c r="H13" s="153">
        <f t="shared" si="2"/>
        <v>6</v>
      </c>
      <c r="I13" s="153">
        <f t="shared" si="3"/>
        <v>3</v>
      </c>
      <c r="J13" s="153">
        <f t="shared" si="4"/>
        <v>9</v>
      </c>
    </row>
    <row r="14" spans="1:10" ht="15.75" thickBot="1">
      <c r="A14" s="299" t="s">
        <v>163</v>
      </c>
      <c r="B14" s="190">
        <v>5</v>
      </c>
      <c r="C14" s="195">
        <v>3</v>
      </c>
      <c r="D14" s="195">
        <v>2</v>
      </c>
      <c r="E14" s="274"/>
      <c r="F14" s="153">
        <f t="shared" si="0"/>
        <v>8</v>
      </c>
      <c r="G14" s="153">
        <f t="shared" si="1"/>
        <v>2</v>
      </c>
      <c r="H14" s="153">
        <f t="shared" si="2"/>
        <v>7</v>
      </c>
      <c r="I14" s="153">
        <f t="shared" si="3"/>
        <v>3</v>
      </c>
      <c r="J14" s="153">
        <f t="shared" si="4"/>
        <v>10</v>
      </c>
    </row>
    <row r="15" spans="1:10" ht="15.75" thickBot="1">
      <c r="A15" s="299" t="s">
        <v>164</v>
      </c>
      <c r="B15" s="190">
        <v>5</v>
      </c>
      <c r="C15" s="195">
        <v>2</v>
      </c>
      <c r="D15" s="195">
        <v>3</v>
      </c>
      <c r="E15" s="274">
        <v>1</v>
      </c>
      <c r="F15" s="153">
        <f t="shared" si="0"/>
        <v>7</v>
      </c>
      <c r="G15" s="153">
        <f t="shared" si="1"/>
        <v>4</v>
      </c>
      <c r="H15" s="153">
        <f t="shared" si="2"/>
        <v>8</v>
      </c>
      <c r="I15" s="153">
        <f t="shared" si="3"/>
        <v>3</v>
      </c>
      <c r="J15" s="153">
        <f t="shared" si="4"/>
        <v>11</v>
      </c>
    </row>
    <row r="16" spans="1:10" ht="15.75" thickBot="1">
      <c r="A16" s="299" t="s">
        <v>165</v>
      </c>
      <c r="B16" s="190">
        <v>6</v>
      </c>
      <c r="C16" s="195">
        <v>1</v>
      </c>
      <c r="D16" s="195">
        <v>6</v>
      </c>
      <c r="E16" s="274">
        <v>2</v>
      </c>
      <c r="F16" s="153">
        <f t="shared" si="0"/>
        <v>7</v>
      </c>
      <c r="G16" s="153">
        <f t="shared" si="1"/>
        <v>8</v>
      </c>
      <c r="H16" s="153">
        <f t="shared" si="2"/>
        <v>12</v>
      </c>
      <c r="I16" s="153">
        <f t="shared" si="3"/>
        <v>3</v>
      </c>
      <c r="J16" s="153">
        <f t="shared" si="4"/>
        <v>15</v>
      </c>
    </row>
    <row r="17" spans="1:10" ht="15.75" thickBot="1">
      <c r="A17" s="299" t="s">
        <v>340</v>
      </c>
      <c r="B17" s="192">
        <v>5</v>
      </c>
      <c r="C17" s="196"/>
      <c r="D17" s="196">
        <v>3</v>
      </c>
      <c r="E17" s="275"/>
      <c r="F17" s="153">
        <f t="shared" si="0"/>
        <v>5</v>
      </c>
      <c r="G17" s="153">
        <f t="shared" si="1"/>
        <v>3</v>
      </c>
      <c r="H17" s="153">
        <f t="shared" si="2"/>
        <v>8</v>
      </c>
      <c r="I17" s="153">
        <f t="shared" si="3"/>
        <v>0</v>
      </c>
      <c r="J17" s="153">
        <f t="shared" si="4"/>
        <v>8</v>
      </c>
    </row>
    <row r="18" spans="1:10" ht="15.75" thickBot="1">
      <c r="A18" s="153" t="s">
        <v>9</v>
      </c>
      <c r="B18" s="153">
        <f t="shared" ref="B18:G18" si="5">SUM(B9:B17)</f>
        <v>29</v>
      </c>
      <c r="C18" s="153">
        <f t="shared" si="5"/>
        <v>10</v>
      </c>
      <c r="D18" s="153">
        <f t="shared" si="5"/>
        <v>15</v>
      </c>
      <c r="E18" s="153">
        <f>SUM(E9:E17)</f>
        <v>6</v>
      </c>
      <c r="F18" s="153">
        <f t="shared" si="5"/>
        <v>39</v>
      </c>
      <c r="G18" s="153">
        <f t="shared" si="5"/>
        <v>21</v>
      </c>
      <c r="H18" s="153">
        <f>SUM(H9:H17)</f>
        <v>44</v>
      </c>
      <c r="I18" s="153">
        <f>SUM(I9:I17)</f>
        <v>16</v>
      </c>
      <c r="J18" s="153">
        <f t="shared" si="4"/>
        <v>60</v>
      </c>
    </row>
    <row r="19" spans="1:10" ht="6.75" customHeight="1"/>
    <row r="20" spans="1:10" ht="15.75">
      <c r="A20" s="276" t="s">
        <v>469</v>
      </c>
    </row>
    <row r="21" spans="1:10" ht="5.25" customHeight="1" thickBot="1">
      <c r="A21" s="276"/>
    </row>
    <row r="22" spans="1:10" ht="15.75" thickBot="1">
      <c r="B22" s="180" t="s">
        <v>24</v>
      </c>
      <c r="C22" s="180"/>
      <c r="D22" s="180" t="s">
        <v>25</v>
      </c>
      <c r="E22" s="180"/>
      <c r="F22" s="174" t="s">
        <v>9</v>
      </c>
      <c r="G22" s="304"/>
      <c r="H22" s="174"/>
      <c r="I22" s="174"/>
      <c r="J22" s="174"/>
    </row>
    <row r="23" spans="1:10" ht="15.75" thickBot="1">
      <c r="B23" s="554" t="s">
        <v>8</v>
      </c>
      <c r="C23" s="558" t="s">
        <v>7</v>
      </c>
      <c r="D23" s="558" t="s">
        <v>8</v>
      </c>
      <c r="E23" s="559" t="s">
        <v>7</v>
      </c>
      <c r="F23" s="266" t="s">
        <v>24</v>
      </c>
      <c r="G23" s="153" t="s">
        <v>25</v>
      </c>
      <c r="H23" s="153" t="s">
        <v>8</v>
      </c>
      <c r="I23" s="153" t="s">
        <v>7</v>
      </c>
      <c r="J23" s="153" t="s">
        <v>9</v>
      </c>
    </row>
    <row r="24" spans="1:10" ht="15.75" thickBot="1">
      <c r="A24" s="299" t="s">
        <v>339</v>
      </c>
      <c r="B24" s="267"/>
      <c r="C24" s="556"/>
      <c r="D24" s="556"/>
      <c r="E24" s="557"/>
      <c r="F24" s="153">
        <f>B24+C24</f>
        <v>0</v>
      </c>
      <c r="G24" s="153">
        <f>E24+D24</f>
        <v>0</v>
      </c>
      <c r="H24" s="153">
        <f>B24+D24</f>
        <v>0</v>
      </c>
      <c r="I24" s="153">
        <f>C24+E24</f>
        <v>0</v>
      </c>
      <c r="J24" s="153">
        <f>SUM(H24:I24)</f>
        <v>0</v>
      </c>
    </row>
    <row r="25" spans="1:10" ht="15.75" thickBot="1">
      <c r="A25" s="299" t="s">
        <v>159</v>
      </c>
      <c r="B25" s="190"/>
      <c r="C25" s="195"/>
      <c r="D25" s="195"/>
      <c r="E25" s="274"/>
      <c r="F25" s="153">
        <f t="shared" ref="F25:F32" si="6">B25+C25</f>
        <v>0</v>
      </c>
      <c r="G25" s="153">
        <f t="shared" ref="G25:G32" si="7">E25+D25</f>
        <v>0</v>
      </c>
      <c r="H25" s="153">
        <f t="shared" ref="H25:H32" si="8">B25+D25</f>
        <v>0</v>
      </c>
      <c r="I25" s="153">
        <f t="shared" ref="I25:I32" si="9">C25+E25</f>
        <v>0</v>
      </c>
      <c r="J25" s="153">
        <f t="shared" ref="J25:J33" si="10">SUM(H25:I25)</f>
        <v>0</v>
      </c>
    </row>
    <row r="26" spans="1:10" ht="15.75" thickBot="1">
      <c r="A26" s="299" t="s">
        <v>160</v>
      </c>
      <c r="B26" s="190"/>
      <c r="C26" s="195"/>
      <c r="D26" s="195"/>
      <c r="E26" s="274">
        <v>1</v>
      </c>
      <c r="F26" s="153">
        <f t="shared" si="6"/>
        <v>0</v>
      </c>
      <c r="G26" s="153">
        <f t="shared" si="7"/>
        <v>1</v>
      </c>
      <c r="H26" s="153">
        <f t="shared" si="8"/>
        <v>0</v>
      </c>
      <c r="I26" s="153">
        <f t="shared" si="9"/>
        <v>1</v>
      </c>
      <c r="J26" s="153">
        <f t="shared" si="10"/>
        <v>1</v>
      </c>
    </row>
    <row r="27" spans="1:10" ht="15.75" thickBot="1">
      <c r="A27" s="299" t="s">
        <v>161</v>
      </c>
      <c r="B27" s="190">
        <v>1</v>
      </c>
      <c r="C27" s="195">
        <v>1</v>
      </c>
      <c r="D27" s="195"/>
      <c r="E27" s="274">
        <v>1</v>
      </c>
      <c r="F27" s="153">
        <f t="shared" si="6"/>
        <v>2</v>
      </c>
      <c r="G27" s="153">
        <f t="shared" si="7"/>
        <v>1</v>
      </c>
      <c r="H27" s="153">
        <f t="shared" si="8"/>
        <v>1</v>
      </c>
      <c r="I27" s="153">
        <f t="shared" si="9"/>
        <v>2</v>
      </c>
      <c r="J27" s="153">
        <f t="shared" si="10"/>
        <v>3</v>
      </c>
    </row>
    <row r="28" spans="1:10" ht="15.75" thickBot="1">
      <c r="A28" s="299" t="s">
        <v>162</v>
      </c>
      <c r="B28" s="190">
        <v>1</v>
      </c>
      <c r="C28" s="195">
        <v>1</v>
      </c>
      <c r="D28" s="195">
        <v>1</v>
      </c>
      <c r="E28" s="274"/>
      <c r="F28" s="153">
        <f t="shared" si="6"/>
        <v>2</v>
      </c>
      <c r="G28" s="153">
        <f t="shared" si="7"/>
        <v>1</v>
      </c>
      <c r="H28" s="153">
        <f t="shared" si="8"/>
        <v>2</v>
      </c>
      <c r="I28" s="153">
        <f t="shared" si="9"/>
        <v>1</v>
      </c>
      <c r="J28" s="153">
        <f t="shared" si="10"/>
        <v>3</v>
      </c>
    </row>
    <row r="29" spans="1:10" ht="15.75" thickBot="1">
      <c r="A29" s="299" t="s">
        <v>163</v>
      </c>
      <c r="B29" s="190">
        <v>2</v>
      </c>
      <c r="C29" s="195">
        <v>1</v>
      </c>
      <c r="D29" s="195"/>
      <c r="E29" s="274"/>
      <c r="F29" s="153">
        <f t="shared" si="6"/>
        <v>3</v>
      </c>
      <c r="G29" s="153">
        <f t="shared" si="7"/>
        <v>0</v>
      </c>
      <c r="H29" s="153">
        <f t="shared" si="8"/>
        <v>2</v>
      </c>
      <c r="I29" s="153">
        <f t="shared" si="9"/>
        <v>1</v>
      </c>
      <c r="J29" s="153">
        <f t="shared" si="10"/>
        <v>3</v>
      </c>
    </row>
    <row r="30" spans="1:10" ht="15.75" thickBot="1">
      <c r="A30" s="299" t="s">
        <v>164</v>
      </c>
      <c r="B30" s="190"/>
      <c r="C30" s="195">
        <v>2</v>
      </c>
      <c r="D30" s="195">
        <v>1</v>
      </c>
      <c r="E30" s="274"/>
      <c r="F30" s="153">
        <f t="shared" si="6"/>
        <v>2</v>
      </c>
      <c r="G30" s="153">
        <f t="shared" si="7"/>
        <v>1</v>
      </c>
      <c r="H30" s="153">
        <f t="shared" si="8"/>
        <v>1</v>
      </c>
      <c r="I30" s="153">
        <f t="shared" si="9"/>
        <v>2</v>
      </c>
      <c r="J30" s="153">
        <f t="shared" si="10"/>
        <v>3</v>
      </c>
    </row>
    <row r="31" spans="1:10" ht="15.75" thickBot="1">
      <c r="A31" s="299" t="s">
        <v>165</v>
      </c>
      <c r="B31" s="190">
        <v>1</v>
      </c>
      <c r="C31" s="195"/>
      <c r="D31" s="195">
        <v>1</v>
      </c>
      <c r="E31" s="274">
        <v>1</v>
      </c>
      <c r="F31" s="153">
        <f t="shared" si="6"/>
        <v>1</v>
      </c>
      <c r="G31" s="153">
        <f t="shared" si="7"/>
        <v>2</v>
      </c>
      <c r="H31" s="153">
        <f t="shared" si="8"/>
        <v>2</v>
      </c>
      <c r="I31" s="153">
        <f t="shared" si="9"/>
        <v>1</v>
      </c>
      <c r="J31" s="153">
        <f t="shared" si="10"/>
        <v>3</v>
      </c>
    </row>
    <row r="32" spans="1:10" ht="15.75" thickBot="1">
      <c r="A32" s="299" t="s">
        <v>340</v>
      </c>
      <c r="B32" s="192"/>
      <c r="C32" s="196"/>
      <c r="D32" s="196"/>
      <c r="E32" s="275"/>
      <c r="F32" s="153">
        <f t="shared" si="6"/>
        <v>0</v>
      </c>
      <c r="G32" s="153">
        <f t="shared" si="7"/>
        <v>0</v>
      </c>
      <c r="H32" s="153">
        <f t="shared" si="8"/>
        <v>0</v>
      </c>
      <c r="I32" s="153">
        <f t="shared" si="9"/>
        <v>0</v>
      </c>
      <c r="J32" s="153">
        <f t="shared" si="10"/>
        <v>0</v>
      </c>
    </row>
    <row r="33" spans="1:10" ht="15.75" thickBot="1">
      <c r="A33" s="153" t="s">
        <v>9</v>
      </c>
      <c r="B33" s="153">
        <f t="shared" ref="B33" si="11">SUM(B24:B32)</f>
        <v>5</v>
      </c>
      <c r="C33" s="153">
        <f t="shared" ref="C33" si="12">SUM(C24:C32)</f>
        <v>5</v>
      </c>
      <c r="D33" s="153">
        <f t="shared" ref="D33" si="13">SUM(D24:D32)</f>
        <v>3</v>
      </c>
      <c r="E33" s="153">
        <f>SUM(E24:E32)</f>
        <v>3</v>
      </c>
      <c r="F33" s="153">
        <f t="shared" ref="F33" si="14">SUM(F24:F32)</f>
        <v>10</v>
      </c>
      <c r="G33" s="153">
        <f t="shared" ref="G33" si="15">SUM(G24:G32)</f>
        <v>6</v>
      </c>
      <c r="H33" s="153">
        <f>SUM(H24:H32)</f>
        <v>8</v>
      </c>
      <c r="I33" s="153">
        <f>SUM(I24:I32)</f>
        <v>8</v>
      </c>
      <c r="J33" s="153">
        <f t="shared" si="10"/>
        <v>16</v>
      </c>
    </row>
    <row r="34" spans="1:10" ht="15.75">
      <c r="A34" s="276" t="s">
        <v>471</v>
      </c>
    </row>
    <row r="35" spans="1:10" ht="6.75" customHeight="1">
      <c r="A35" s="305"/>
    </row>
    <row r="36" spans="1:10" ht="15.75" customHeight="1" thickBot="1">
      <c r="B36" s="314" t="s">
        <v>472</v>
      </c>
      <c r="C36" s="314"/>
      <c r="D36" s="314"/>
      <c r="E36" s="314"/>
      <c r="F36" s="314"/>
      <c r="G36" s="314"/>
      <c r="I36" s="370">
        <f>SUM(I37:I41)</f>
        <v>13925.74</v>
      </c>
    </row>
    <row r="37" spans="1:10" ht="15.75" customHeight="1" thickBot="1">
      <c r="B37" s="318" t="s">
        <v>473</v>
      </c>
      <c r="C37" s="319"/>
      <c r="D37" s="319"/>
      <c r="E37" s="319"/>
      <c r="F37" s="320"/>
      <c r="G37" s="321"/>
      <c r="H37" s="307"/>
      <c r="I37" s="308"/>
    </row>
    <row r="38" spans="1:10" ht="15.75" customHeight="1" thickBot="1">
      <c r="B38" s="318" t="s">
        <v>474</v>
      </c>
      <c r="C38" s="319"/>
      <c r="D38" s="319"/>
      <c r="E38" s="319"/>
      <c r="F38" s="320"/>
      <c r="G38" s="321"/>
      <c r="H38" s="306"/>
      <c r="I38" s="396">
        <v>5671</v>
      </c>
    </row>
    <row r="39" spans="1:10" ht="15.75" customHeight="1" thickBot="1">
      <c r="B39" s="318" t="s">
        <v>475</v>
      </c>
      <c r="C39" s="319"/>
      <c r="D39" s="319"/>
      <c r="E39" s="319"/>
      <c r="F39" s="320"/>
      <c r="G39" s="321"/>
      <c r="H39" s="306"/>
      <c r="I39" s="396"/>
    </row>
    <row r="40" spans="1:10" ht="15.75" customHeight="1" thickBot="1">
      <c r="B40" s="318" t="s">
        <v>476</v>
      </c>
      <c r="C40" s="319"/>
      <c r="D40" s="319"/>
      <c r="E40" s="319"/>
      <c r="F40" s="320"/>
      <c r="G40" s="321"/>
      <c r="H40" s="306"/>
      <c r="I40" s="396"/>
    </row>
    <row r="41" spans="1:10" ht="15.75" customHeight="1" thickBot="1">
      <c r="B41" s="318" t="s">
        <v>652</v>
      </c>
      <c r="C41" s="319"/>
      <c r="D41" s="319"/>
      <c r="E41" s="319"/>
      <c r="F41" s="320"/>
      <c r="G41" s="321"/>
      <c r="H41" s="306"/>
      <c r="I41" s="397">
        <v>8254.74</v>
      </c>
    </row>
    <row r="42" spans="1:10" ht="48">
      <c r="B42" s="315" t="s">
        <v>477</v>
      </c>
      <c r="C42" s="315"/>
      <c r="D42" s="315"/>
      <c r="E42" s="315"/>
      <c r="F42" s="315"/>
      <c r="G42" s="315"/>
      <c r="H42" s="309"/>
      <c r="I42" s="369">
        <v>81231.17</v>
      </c>
    </row>
    <row r="43" spans="1:10" ht="6.75" customHeight="1">
      <c r="B43" s="307"/>
      <c r="C43" s="307"/>
      <c r="D43" s="307"/>
      <c r="E43" s="307"/>
      <c r="F43" s="307"/>
      <c r="G43" s="307"/>
      <c r="H43" s="307"/>
      <c r="I43" s="310"/>
    </row>
    <row r="44" spans="1:10" ht="15" customHeight="1">
      <c r="B44" s="314" t="s">
        <v>478</v>
      </c>
      <c r="C44" s="314"/>
      <c r="D44" s="314"/>
      <c r="E44" s="314"/>
      <c r="F44" s="314"/>
      <c r="G44" s="314"/>
      <c r="H44" s="307"/>
      <c r="I44" s="316"/>
    </row>
    <row r="45" spans="1:10" ht="6.75" customHeight="1">
      <c r="B45" s="307"/>
      <c r="C45" s="307"/>
      <c r="D45" s="307"/>
      <c r="E45" s="307"/>
      <c r="F45" s="307"/>
      <c r="G45" s="307"/>
      <c r="H45" s="307"/>
      <c r="I45" s="310"/>
    </row>
    <row r="46" spans="1:10">
      <c r="B46" s="314" t="s">
        <v>479</v>
      </c>
      <c r="C46" s="314"/>
      <c r="D46" s="314"/>
      <c r="E46" s="314"/>
      <c r="F46" s="314"/>
      <c r="G46" s="314"/>
      <c r="H46" s="307"/>
      <c r="I46" s="316" t="s">
        <v>480</v>
      </c>
    </row>
    <row r="47" spans="1:10" ht="6.75" customHeight="1">
      <c r="B47" s="307"/>
      <c r="C47" s="307"/>
      <c r="D47" s="307"/>
      <c r="E47" s="307"/>
      <c r="F47" s="307"/>
      <c r="G47" s="307"/>
      <c r="H47" s="307"/>
      <c r="I47" s="310"/>
    </row>
    <row r="48" spans="1:10" ht="15" customHeight="1">
      <c r="B48" s="314" t="s">
        <v>481</v>
      </c>
      <c r="C48" s="314"/>
      <c r="D48" s="314"/>
      <c r="E48" s="314"/>
      <c r="F48" s="314"/>
      <c r="G48" s="314"/>
      <c r="H48" s="307"/>
      <c r="I48" s="369">
        <v>151002</v>
      </c>
    </row>
    <row r="49" spans="1:9" ht="6.75" customHeight="1"/>
    <row r="50" spans="1:9" ht="15.75">
      <c r="A50" s="276"/>
      <c r="B50" s="307"/>
      <c r="C50" s="307"/>
      <c r="D50" s="307"/>
      <c r="E50" s="307"/>
      <c r="F50" s="307"/>
      <c r="G50" s="307"/>
      <c r="H50" s="307"/>
      <c r="I50" s="311"/>
    </row>
    <row r="51" spans="1:9" ht="6.75" customHeight="1">
      <c r="A51" s="140"/>
      <c r="B51" s="307"/>
      <c r="C51" s="307"/>
      <c r="D51" s="307"/>
      <c r="H51" s="307"/>
    </row>
    <row r="52" spans="1:9" ht="15" customHeight="1">
      <c r="B52" s="307"/>
      <c r="C52" s="307"/>
      <c r="D52" s="307"/>
      <c r="E52" s="312"/>
      <c r="F52" s="238"/>
      <c r="G52" s="140"/>
      <c r="H52" s="140"/>
      <c r="I52" s="140"/>
    </row>
    <row r="53" spans="1:9">
      <c r="B53" s="307"/>
      <c r="C53" s="307"/>
      <c r="D53" s="307"/>
    </row>
  </sheetData>
  <pageMargins left="0.7" right="0.7" top="0.75" bottom="0.75" header="0.3" footer="0.3"/>
  <pageSetup paperSize="9" orientation="landscape" r:id="rId1"/>
  <headerFooter>
    <oddHeader>&amp;C&amp;"-,Gras"Chapitre V - Organisation
5. Handicap</oddHeader>
    <oddFooter>&amp;C&amp;"-,Gras"Base de Données Sociales 2023&amp;R&amp;P</oddFooter>
  </headerFooter>
  <rowBreaks count="1" manualBreakCount="1">
    <brk id="33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0903-4EE6-4DB6-9F48-1DE7F7AF7C17}">
  <sheetPr codeName="Feuil22">
    <tabColor rgb="FF92D050"/>
  </sheetPr>
  <dimension ref="A1:N23"/>
  <sheetViews>
    <sheetView showGridLines="0" showWhiteSpace="0" view="pageLayout" zoomScale="80" zoomScaleNormal="100" zoomScalePageLayoutView="80" workbookViewId="0">
      <selection activeCell="D20" sqref="D20:D23"/>
    </sheetView>
  </sheetViews>
  <sheetFormatPr baseColWidth="10" defaultRowHeight="15"/>
  <cols>
    <col min="1" max="1" width="11" customWidth="1"/>
    <col min="2" max="2" width="7.7109375" customWidth="1"/>
    <col min="3" max="3" width="10.5703125" customWidth="1"/>
    <col min="4" max="4" width="8" customWidth="1"/>
    <col min="5" max="5" width="4.85546875" customWidth="1"/>
    <col min="6" max="6" width="9.5703125" customWidth="1"/>
    <col min="7" max="7" width="7.7109375" customWidth="1"/>
    <col min="8" max="8" width="8.7109375" customWidth="1"/>
    <col min="9" max="9" width="8" customWidth="1"/>
    <col min="10" max="10" width="4.85546875" customWidth="1"/>
    <col min="11" max="11" width="9.5703125" customWidth="1"/>
    <col min="12" max="12" width="7.7109375" customWidth="1"/>
    <col min="13" max="13" width="8.7109375" customWidth="1"/>
    <col min="14" max="14" width="8" customWidth="1"/>
    <col min="15" max="15" width="2.42578125" customWidth="1"/>
  </cols>
  <sheetData>
    <row r="1" spans="1:14" ht="15.75">
      <c r="A1" s="13" t="s">
        <v>515</v>
      </c>
      <c r="F1" s="13"/>
      <c r="K1" s="13"/>
    </row>
    <row r="2" spans="1:14">
      <c r="A2" t="s">
        <v>516</v>
      </c>
    </row>
    <row r="3" spans="1:14" ht="6" customHeight="1"/>
    <row r="4" spans="1:14">
      <c r="A4" s="330" t="s">
        <v>517</v>
      </c>
      <c r="B4" s="330"/>
      <c r="C4" s="330"/>
      <c r="D4" s="330"/>
      <c r="E4" s="14"/>
      <c r="F4" s="330" t="s">
        <v>519</v>
      </c>
      <c r="G4" s="330"/>
      <c r="H4" s="330"/>
      <c r="I4" s="330"/>
      <c r="J4" s="14"/>
      <c r="K4" s="330" t="s">
        <v>520</v>
      </c>
      <c r="L4" s="330"/>
      <c r="M4" s="330"/>
      <c r="N4" s="330"/>
    </row>
    <row r="5" spans="1:14">
      <c r="A5" s="333"/>
      <c r="B5" s="336" t="s">
        <v>150</v>
      </c>
      <c r="C5" s="336" t="s">
        <v>151</v>
      </c>
      <c r="D5" s="334" t="s">
        <v>9</v>
      </c>
      <c r="E5" s="126"/>
      <c r="F5" s="333"/>
      <c r="G5" s="336" t="s">
        <v>150</v>
      </c>
      <c r="H5" s="336" t="s">
        <v>151</v>
      </c>
      <c r="I5" s="334" t="s">
        <v>9</v>
      </c>
      <c r="J5" s="126"/>
      <c r="K5" s="333"/>
      <c r="L5" s="336" t="s">
        <v>150</v>
      </c>
      <c r="M5" s="336" t="s">
        <v>151</v>
      </c>
      <c r="N5" s="334" t="s">
        <v>9</v>
      </c>
    </row>
    <row r="6" spans="1:14">
      <c r="A6" s="336" t="s">
        <v>6</v>
      </c>
      <c r="B6" s="333">
        <v>5</v>
      </c>
      <c r="C6" s="333">
        <v>5</v>
      </c>
      <c r="D6" s="335">
        <f>SUM(B6:C6)</f>
        <v>10</v>
      </c>
      <c r="E6" s="126"/>
      <c r="F6" s="336" t="s">
        <v>6</v>
      </c>
      <c r="G6" s="333">
        <v>6</v>
      </c>
      <c r="H6" s="333">
        <v>4</v>
      </c>
      <c r="I6" s="335">
        <f>SUM(G6:H6)</f>
        <v>10</v>
      </c>
      <c r="J6" s="126"/>
      <c r="K6" s="336" t="s">
        <v>6</v>
      </c>
      <c r="L6" s="333">
        <v>10</v>
      </c>
      <c r="M6" s="333">
        <v>4</v>
      </c>
      <c r="N6" s="335">
        <f>SUM(L6:M6)</f>
        <v>14</v>
      </c>
    </row>
    <row r="7" spans="1:14">
      <c r="A7" s="336" t="s">
        <v>518</v>
      </c>
      <c r="B7" s="333">
        <v>4</v>
      </c>
      <c r="C7" s="333">
        <v>6</v>
      </c>
      <c r="D7" s="335">
        <f t="shared" ref="D7:D8" si="0">SUM(B7:C7)</f>
        <v>10</v>
      </c>
      <c r="E7" s="126"/>
      <c r="F7" s="336" t="s">
        <v>518</v>
      </c>
      <c r="G7" s="333">
        <v>6</v>
      </c>
      <c r="H7" s="333">
        <v>4</v>
      </c>
      <c r="I7" s="335">
        <f t="shared" ref="I7:I8" si="1">SUM(G7:H7)</f>
        <v>10</v>
      </c>
      <c r="J7" s="126"/>
      <c r="K7" s="336" t="s">
        <v>518</v>
      </c>
      <c r="L7" s="333">
        <v>9</v>
      </c>
      <c r="M7" s="333">
        <v>5</v>
      </c>
      <c r="N7" s="335">
        <f t="shared" ref="N7:N8" si="2">SUM(L7:M7)</f>
        <v>14</v>
      </c>
    </row>
    <row r="8" spans="1:14">
      <c r="A8" s="334" t="s">
        <v>9</v>
      </c>
      <c r="B8" s="335">
        <f>SUM(B6:B7)</f>
        <v>9</v>
      </c>
      <c r="C8" s="335">
        <f>SUM(C6:C7)</f>
        <v>11</v>
      </c>
      <c r="D8" s="335">
        <f t="shared" si="0"/>
        <v>20</v>
      </c>
      <c r="E8" s="126"/>
      <c r="F8" s="334" t="s">
        <v>9</v>
      </c>
      <c r="G8" s="335">
        <f>SUM(G6:G7)</f>
        <v>12</v>
      </c>
      <c r="H8" s="335">
        <f>SUM(H6:H7)</f>
        <v>8</v>
      </c>
      <c r="I8" s="335">
        <f t="shared" si="1"/>
        <v>20</v>
      </c>
      <c r="J8" s="126"/>
      <c r="K8" s="334" t="s">
        <v>9</v>
      </c>
      <c r="L8" s="335">
        <f>SUM(L6:L7)</f>
        <v>19</v>
      </c>
      <c r="M8" s="335">
        <f>SUM(M6:M7)</f>
        <v>9</v>
      </c>
      <c r="N8" s="335">
        <f t="shared" si="2"/>
        <v>28</v>
      </c>
    </row>
    <row r="9" spans="1:14" ht="6.75" customHeight="1"/>
    <row r="10" spans="1:14">
      <c r="A10" t="s">
        <v>521</v>
      </c>
    </row>
    <row r="11" spans="1:14" ht="6" customHeight="1"/>
    <row r="12" spans="1:14">
      <c r="A12" s="336" t="s">
        <v>517</v>
      </c>
      <c r="B12">
        <v>7</v>
      </c>
    </row>
    <row r="13" spans="1:14" ht="26.25">
      <c r="A13" s="337" t="s">
        <v>522</v>
      </c>
      <c r="B13">
        <v>5</v>
      </c>
    </row>
    <row r="14" spans="1:14">
      <c r="A14" s="336" t="s">
        <v>523</v>
      </c>
    </row>
    <row r="16" spans="1:14" ht="45" customHeight="1">
      <c r="A16" s="671" t="s">
        <v>704</v>
      </c>
      <c r="B16" s="671"/>
      <c r="C16" s="671"/>
      <c r="D16" s="671"/>
      <c r="E16" s="671"/>
      <c r="F16" s="33">
        <v>58</v>
      </c>
    </row>
    <row r="17" spans="1:3" ht="9" customHeight="1"/>
    <row r="18" spans="1:3">
      <c r="A18" t="s">
        <v>524</v>
      </c>
    </row>
    <row r="19" spans="1:3" ht="3.75" customHeight="1"/>
    <row r="20" spans="1:3" ht="27.75" customHeight="1">
      <c r="B20" s="337" t="s">
        <v>525</v>
      </c>
      <c r="C20" s="337" t="s">
        <v>526</v>
      </c>
    </row>
    <row r="21" spans="1:3">
      <c r="A21" s="336" t="s">
        <v>150</v>
      </c>
      <c r="B21">
        <v>350</v>
      </c>
      <c r="C21">
        <v>6</v>
      </c>
    </row>
    <row r="22" spans="1:3">
      <c r="A22" s="336" t="s">
        <v>151</v>
      </c>
      <c r="B22">
        <v>1218</v>
      </c>
      <c r="C22">
        <v>7</v>
      </c>
    </row>
    <row r="23" spans="1:3">
      <c r="A23" s="334" t="s">
        <v>9</v>
      </c>
      <c r="B23" s="335">
        <f t="shared" ref="B23:C23" si="3">SUM(B21:B22)</f>
        <v>1568</v>
      </c>
      <c r="C23" s="335">
        <f t="shared" si="3"/>
        <v>13</v>
      </c>
    </row>
  </sheetData>
  <mergeCells count="1">
    <mergeCell ref="A16:E16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4294967293" r:id="rId1"/>
  <headerFooter>
    <oddHeader>&amp;C&amp;"-,Gras"Chapitre VI - Dialogue Social</oddHeader>
    <oddFooter>&amp;C&amp;"-,Gras"Base de Données Sociales 2023&amp;R&amp;P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DF7C-C2D4-46A7-B421-43542A25F49F}">
  <sheetPr codeName="Feuil2">
    <tabColor rgb="FF92D050"/>
  </sheetPr>
  <dimension ref="A1:AZ28"/>
  <sheetViews>
    <sheetView showGridLines="0" view="pageLayout" topLeftCell="Y1" zoomScale="80" zoomScaleNormal="100" zoomScalePageLayoutView="80" workbookViewId="0">
      <selection activeCell="AC5" sqref="AC5"/>
    </sheetView>
  </sheetViews>
  <sheetFormatPr baseColWidth="10" defaultColWidth="11.42578125" defaultRowHeight="15"/>
  <cols>
    <col min="1" max="1" width="14.28515625" customWidth="1"/>
    <col min="2" max="2" width="25.7109375" bestFit="1" customWidth="1"/>
    <col min="3" max="6" width="8.85546875" customWidth="1"/>
    <col min="7" max="7" width="11.5703125" customWidth="1"/>
    <col min="8" max="12" width="8.85546875" customWidth="1"/>
    <col min="14" max="14" width="4.28515625" customWidth="1"/>
    <col min="15" max="15" width="14.140625" customWidth="1"/>
    <col min="16" max="21" width="10.5703125" customWidth="1"/>
    <col min="26" max="26" width="2.85546875" customWidth="1"/>
    <col min="28" max="28" width="25.28515625" bestFit="1" customWidth="1"/>
    <col min="29" max="34" width="10" customWidth="1"/>
    <col min="39" max="40" width="3.85546875" customWidth="1"/>
    <col min="42" max="42" width="25.28515625" bestFit="1" customWidth="1"/>
    <col min="43" max="43" width="12.140625" customWidth="1"/>
    <col min="44" max="48" width="10" customWidth="1"/>
    <col min="54" max="54" width="14.85546875" bestFit="1" customWidth="1"/>
  </cols>
  <sheetData>
    <row r="1" spans="1:52" ht="15.75">
      <c r="A1" s="360" t="s">
        <v>53</v>
      </c>
      <c r="N1" s="360" t="s">
        <v>39</v>
      </c>
      <c r="AA1" s="360" t="s">
        <v>467</v>
      </c>
      <c r="AO1" s="360" t="s">
        <v>54</v>
      </c>
    </row>
    <row r="2" spans="1:52" ht="6.75" customHeight="1">
      <c r="A2" s="13"/>
      <c r="N2" s="200"/>
      <c r="AA2" s="200"/>
      <c r="AO2" s="200"/>
    </row>
    <row r="3" spans="1:52" ht="15.75">
      <c r="A3" s="14"/>
      <c r="B3" s="14"/>
      <c r="C3" s="16" t="s">
        <v>4</v>
      </c>
      <c r="D3" s="17"/>
      <c r="E3" s="17"/>
      <c r="F3" s="17"/>
      <c r="G3" s="614" t="s">
        <v>5</v>
      </c>
      <c r="H3" s="614"/>
      <c r="I3" s="607" t="s">
        <v>10</v>
      </c>
      <c r="J3" s="607"/>
      <c r="K3" s="607"/>
      <c r="L3" s="607"/>
      <c r="P3" s="27" t="s">
        <v>24</v>
      </c>
      <c r="Q3" s="27"/>
      <c r="R3" s="27" t="s">
        <v>25</v>
      </c>
      <c r="S3" s="27"/>
      <c r="T3" s="31" t="s">
        <v>10</v>
      </c>
      <c r="U3" s="31"/>
      <c r="AA3" s="13"/>
      <c r="AC3" s="43" t="s">
        <v>50</v>
      </c>
      <c r="AD3" s="43"/>
      <c r="AE3" s="43" t="s">
        <v>51</v>
      </c>
      <c r="AF3" s="43"/>
      <c r="AG3" s="600" t="s">
        <v>10</v>
      </c>
      <c r="AH3" s="600"/>
      <c r="AQ3" s="43" t="s">
        <v>24</v>
      </c>
      <c r="AR3" s="43"/>
      <c r="AS3" s="43" t="s">
        <v>25</v>
      </c>
      <c r="AT3" s="43"/>
      <c r="AU3" s="600" t="s">
        <v>10</v>
      </c>
      <c r="AV3" s="600"/>
    </row>
    <row r="4" spans="1:52" ht="25.5">
      <c r="A4" s="14"/>
      <c r="B4" s="14"/>
      <c r="C4" s="19" t="s">
        <v>4</v>
      </c>
      <c r="D4" s="20"/>
      <c r="E4" s="21" t="s">
        <v>125</v>
      </c>
      <c r="F4" s="21"/>
      <c r="G4" s="615"/>
      <c r="H4" s="615"/>
      <c r="I4" s="607"/>
      <c r="J4" s="607"/>
      <c r="K4" s="607"/>
      <c r="L4" s="607"/>
      <c r="P4" s="28" t="s">
        <v>35</v>
      </c>
      <c r="Q4" s="28" t="s">
        <v>36</v>
      </c>
      <c r="R4" s="28" t="s">
        <v>35</v>
      </c>
      <c r="S4" s="28" t="s">
        <v>36</v>
      </c>
      <c r="T4" s="32" t="s">
        <v>35</v>
      </c>
      <c r="U4" s="32" t="s">
        <v>36</v>
      </c>
      <c r="AC4" s="28" t="s">
        <v>35</v>
      </c>
      <c r="AD4" s="28" t="s">
        <v>49</v>
      </c>
      <c r="AE4" s="28" t="s">
        <v>35</v>
      </c>
      <c r="AF4" s="28" t="s">
        <v>49</v>
      </c>
      <c r="AG4" s="44" t="s">
        <v>35</v>
      </c>
      <c r="AH4" s="44" t="s">
        <v>49</v>
      </c>
      <c r="AQ4" s="28" t="s">
        <v>35</v>
      </c>
      <c r="AR4" s="28" t="s">
        <v>56</v>
      </c>
      <c r="AS4" s="28" t="s">
        <v>35</v>
      </c>
      <c r="AT4" s="28" t="s">
        <v>56</v>
      </c>
      <c r="AU4" s="44" t="s">
        <v>35</v>
      </c>
      <c r="AV4" s="44" t="s">
        <v>56</v>
      </c>
      <c r="AX4" s="350" t="s">
        <v>24</v>
      </c>
      <c r="AY4" s="350" t="s">
        <v>25</v>
      </c>
    </row>
    <row r="5" spans="1:52">
      <c r="A5" s="14"/>
      <c r="B5" s="14"/>
      <c r="C5" s="15" t="s">
        <v>24</v>
      </c>
      <c r="D5" s="18" t="s">
        <v>25</v>
      </c>
      <c r="E5" s="22" t="s">
        <v>24</v>
      </c>
      <c r="F5" s="22" t="s">
        <v>25</v>
      </c>
      <c r="G5" s="18" t="s">
        <v>24</v>
      </c>
      <c r="H5" s="18" t="s">
        <v>25</v>
      </c>
      <c r="I5" s="24" t="s">
        <v>24</v>
      </c>
      <c r="J5" s="24" t="s">
        <v>25</v>
      </c>
      <c r="K5" s="25" t="s">
        <v>9</v>
      </c>
      <c r="L5" s="25" t="s">
        <v>26</v>
      </c>
      <c r="O5" s="26" t="s">
        <v>34</v>
      </c>
      <c r="P5" s="300">
        <f>C6</f>
        <v>322</v>
      </c>
      <c r="Q5" s="301">
        <f>P5/$P$8</f>
        <v>0.35777777777777775</v>
      </c>
      <c r="R5" s="300">
        <f>D6</f>
        <v>485</v>
      </c>
      <c r="S5" s="301">
        <f>R5/$R$8</f>
        <v>0.60549313358302126</v>
      </c>
      <c r="T5" s="302">
        <f>R5+P5</f>
        <v>807</v>
      </c>
      <c r="U5" s="303">
        <f>T5/$T$8</f>
        <v>0.47442680776014107</v>
      </c>
      <c r="W5" t="s">
        <v>24</v>
      </c>
      <c r="X5" t="s">
        <v>25</v>
      </c>
      <c r="AA5" s="601" t="s">
        <v>4</v>
      </c>
      <c r="AB5" s="525" t="s">
        <v>41</v>
      </c>
      <c r="AC5" s="473">
        <v>390</v>
      </c>
      <c r="AD5" s="473">
        <v>386.8</v>
      </c>
      <c r="AE5" s="473">
        <v>24</v>
      </c>
      <c r="AF5" s="473">
        <v>16.5</v>
      </c>
      <c r="AG5" s="474">
        <f>AE5+AC5</f>
        <v>414</v>
      </c>
      <c r="AH5" s="474">
        <f>AF5+AD5</f>
        <v>403.3</v>
      </c>
      <c r="AO5" s="357"/>
      <c r="AP5" s="525" t="s">
        <v>7</v>
      </c>
      <c r="AQ5" s="214">
        <v>9</v>
      </c>
      <c r="AR5" s="478">
        <f>AQ5/AU5</f>
        <v>0.47368421052631576</v>
      </c>
      <c r="AS5" s="214">
        <v>10</v>
      </c>
      <c r="AT5" s="478">
        <f>AS5/AU5</f>
        <v>0.52631578947368418</v>
      </c>
      <c r="AU5" s="215">
        <f>AS5+AQ5</f>
        <v>19</v>
      </c>
      <c r="AV5" s="479">
        <f>AU5/AU5</f>
        <v>1</v>
      </c>
      <c r="AW5" s="34" t="s">
        <v>7</v>
      </c>
      <c r="AX5" s="350">
        <f>AQ5+AQ8+AQ13</f>
        <v>87</v>
      </c>
      <c r="AY5" s="350">
        <f>AS5+AS8+AS13</f>
        <v>47</v>
      </c>
      <c r="AZ5" s="59">
        <f>SUM(AX5:AY5)</f>
        <v>134</v>
      </c>
    </row>
    <row r="6" spans="1:52" ht="25.5">
      <c r="A6" s="608" t="s">
        <v>14</v>
      </c>
      <c r="B6" s="526" t="s">
        <v>15</v>
      </c>
      <c r="C6" s="485">
        <v>322</v>
      </c>
      <c r="D6" s="486">
        <v>485</v>
      </c>
      <c r="E6" s="486">
        <f>34+47</f>
        <v>81</v>
      </c>
      <c r="F6" s="486">
        <f>34+67</f>
        <v>101</v>
      </c>
      <c r="G6" s="486">
        <v>497</v>
      </c>
      <c r="H6" s="486">
        <v>215</v>
      </c>
      <c r="I6" s="487">
        <f>SUM(C6,E6,G6)</f>
        <v>900</v>
      </c>
      <c r="J6" s="487">
        <f>SUM(D6,F6,H6)</f>
        <v>801</v>
      </c>
      <c r="K6" s="488">
        <f>SUM(I6:J6)</f>
        <v>1701</v>
      </c>
      <c r="L6" s="489">
        <f t="shared" ref="L6:L14" si="0">K6/$K$14</f>
        <v>0.96483267158252983</v>
      </c>
      <c r="O6" s="26" t="s">
        <v>362</v>
      </c>
      <c r="P6" s="300">
        <f>E6</f>
        <v>81</v>
      </c>
      <c r="Q6" s="301">
        <f>P6/$P$8</f>
        <v>0.09</v>
      </c>
      <c r="R6" s="300">
        <f>F6</f>
        <v>101</v>
      </c>
      <c r="S6" s="301">
        <f>R6/$R$8</f>
        <v>0.12609238451935081</v>
      </c>
      <c r="T6" s="302">
        <f t="shared" ref="T6:T7" si="1">R6+P6</f>
        <v>182</v>
      </c>
      <c r="U6" s="303">
        <f>T6/$T$8</f>
        <v>0.10699588477366255</v>
      </c>
      <c r="W6">
        <f>P8</f>
        <v>900</v>
      </c>
      <c r="X6">
        <f>R8</f>
        <v>801</v>
      </c>
      <c r="AA6" s="601"/>
      <c r="AB6" s="525" t="s">
        <v>40</v>
      </c>
      <c r="AC6" s="473">
        <v>87</v>
      </c>
      <c r="AD6" s="473">
        <v>86.5</v>
      </c>
      <c r="AE6" s="473">
        <v>58</v>
      </c>
      <c r="AF6" s="473">
        <v>54.5</v>
      </c>
      <c r="AG6" s="474">
        <f t="shared" ref="AG6:AH11" si="2">AE6+AC6</f>
        <v>145</v>
      </c>
      <c r="AH6" s="474">
        <f t="shared" si="2"/>
        <v>141</v>
      </c>
      <c r="AO6" s="357" t="s">
        <v>4</v>
      </c>
      <c r="AP6" s="525" t="s">
        <v>8</v>
      </c>
      <c r="AQ6" s="300">
        <v>58</v>
      </c>
      <c r="AR6" s="480">
        <f t="shared" ref="AR6:AR17" si="3">AQ6/AU6</f>
        <v>0.41134751773049644</v>
      </c>
      <c r="AS6" s="300">
        <v>83</v>
      </c>
      <c r="AT6" s="480">
        <f t="shared" ref="AT6:AT17" si="4">AS6/AU6</f>
        <v>0.58865248226950351</v>
      </c>
      <c r="AU6" s="302">
        <f>AS6+AQ6</f>
        <v>141</v>
      </c>
      <c r="AV6" s="481">
        <f t="shared" ref="AV6:AV17" si="5">AU6/AU6</f>
        <v>1</v>
      </c>
      <c r="AW6" s="34" t="s">
        <v>8</v>
      </c>
      <c r="AX6" s="350">
        <f>SUM(AQ6,AQ9:AQ11,AQ14:AQ15)</f>
        <v>278</v>
      </c>
      <c r="AY6" s="350">
        <f>SUM(AS6,AS9:AS11,AS14:AS15)</f>
        <v>238</v>
      </c>
      <c r="AZ6" s="59">
        <f>SUM(AX6:AY6)</f>
        <v>516</v>
      </c>
    </row>
    <row r="7" spans="1:52">
      <c r="A7" s="609"/>
      <c r="B7" s="527" t="s">
        <v>16</v>
      </c>
      <c r="C7" s="490"/>
      <c r="D7" s="491"/>
      <c r="E7" s="491"/>
      <c r="F7" s="491"/>
      <c r="G7" s="491"/>
      <c r="H7" s="491"/>
      <c r="I7" s="487">
        <f t="shared" ref="I7:J7" si="6">SUM(C7,E7,G7)</f>
        <v>0</v>
      </c>
      <c r="J7" s="487">
        <f t="shared" si="6"/>
        <v>0</v>
      </c>
      <c r="K7" s="488">
        <f>SUM(I7:J7)</f>
        <v>0</v>
      </c>
      <c r="L7" s="489">
        <f t="shared" si="0"/>
        <v>0</v>
      </c>
      <c r="O7" s="26" t="s">
        <v>5</v>
      </c>
      <c r="P7" s="300">
        <f>G6</f>
        <v>497</v>
      </c>
      <c r="Q7" s="301">
        <f>P7/$P$8</f>
        <v>0.55222222222222217</v>
      </c>
      <c r="R7" s="300">
        <f>H6</f>
        <v>215</v>
      </c>
      <c r="S7" s="301">
        <f>R7/$R$8</f>
        <v>0.26841448189762795</v>
      </c>
      <c r="T7" s="302">
        <f t="shared" si="1"/>
        <v>712</v>
      </c>
      <c r="U7" s="303">
        <f>T7/$T$8</f>
        <v>0.41857730746619637</v>
      </c>
      <c r="W7" s="29">
        <f>W6/(W6+X6)</f>
        <v>0.52910052910052907</v>
      </c>
      <c r="X7" s="29">
        <f>X6/(W6+X6)</f>
        <v>0.47089947089947087</v>
      </c>
      <c r="AA7" s="601"/>
      <c r="AB7" s="525" t="s">
        <v>42</v>
      </c>
      <c r="AC7" s="473">
        <v>170</v>
      </c>
      <c r="AD7" s="473">
        <v>168.9</v>
      </c>
      <c r="AE7" s="473">
        <v>35</v>
      </c>
      <c r="AF7" s="473">
        <v>32.299999999999997</v>
      </c>
      <c r="AG7" s="474">
        <f t="shared" si="2"/>
        <v>205</v>
      </c>
      <c r="AH7" s="474">
        <f t="shared" si="2"/>
        <v>201.2</v>
      </c>
      <c r="AO7" s="357"/>
      <c r="AP7" s="32" t="s">
        <v>28</v>
      </c>
      <c r="AQ7" s="215">
        <f>SUM(AQ5:AQ6)</f>
        <v>67</v>
      </c>
      <c r="AR7" s="482">
        <f t="shared" si="3"/>
        <v>0.41875000000000001</v>
      </c>
      <c r="AS7" s="215">
        <f>SUM(AS5:AS6)</f>
        <v>93</v>
      </c>
      <c r="AT7" s="482">
        <f t="shared" si="4"/>
        <v>0.58125000000000004</v>
      </c>
      <c r="AU7" s="215">
        <f>SUM(AU5:AU6)</f>
        <v>160</v>
      </c>
      <c r="AV7" s="479">
        <f t="shared" si="5"/>
        <v>1</v>
      </c>
    </row>
    <row r="8" spans="1:52">
      <c r="A8" s="610"/>
      <c r="B8" s="213" t="s">
        <v>17</v>
      </c>
      <c r="C8" s="42">
        <f>SUM(C6:C7)</f>
        <v>322</v>
      </c>
      <c r="D8" s="35">
        <f t="shared" ref="D8:H8" si="7">SUM(D6:D7)</f>
        <v>485</v>
      </c>
      <c r="E8" s="35">
        <f t="shared" si="7"/>
        <v>81</v>
      </c>
      <c r="F8" s="35">
        <f t="shared" si="7"/>
        <v>101</v>
      </c>
      <c r="G8" s="35">
        <f t="shared" si="7"/>
        <v>497</v>
      </c>
      <c r="H8" s="35">
        <f t="shared" si="7"/>
        <v>215</v>
      </c>
      <c r="I8" s="35">
        <f>SUM(I6:I7)</f>
        <v>900</v>
      </c>
      <c r="J8" s="35">
        <f>SUM(J6:J7)</f>
        <v>801</v>
      </c>
      <c r="K8" s="36">
        <f>SUM(K6:K7)</f>
        <v>1701</v>
      </c>
      <c r="L8" s="37">
        <f t="shared" si="0"/>
        <v>0.96483267158252983</v>
      </c>
      <c r="O8" s="23" t="s">
        <v>10</v>
      </c>
      <c r="P8" s="302">
        <f>SUM(P5:P7)</f>
        <v>900</v>
      </c>
      <c r="Q8" s="303">
        <f>P8/$P$8</f>
        <v>1</v>
      </c>
      <c r="R8" s="302">
        <f>SUM(R5:R7)</f>
        <v>801</v>
      </c>
      <c r="S8" s="303">
        <f>R8/$R$8</f>
        <v>1</v>
      </c>
      <c r="T8" s="302">
        <f>SUM(T5:T7)</f>
        <v>1701</v>
      </c>
      <c r="U8" s="303">
        <f>T8/$T$8</f>
        <v>1</v>
      </c>
      <c r="AA8" s="601"/>
      <c r="AB8" s="525" t="s">
        <v>43</v>
      </c>
      <c r="AC8" s="473"/>
      <c r="AD8" s="473"/>
      <c r="AE8" s="473">
        <v>34</v>
      </c>
      <c r="AF8" s="473">
        <v>34</v>
      </c>
      <c r="AG8" s="474">
        <f t="shared" si="2"/>
        <v>34</v>
      </c>
      <c r="AH8" s="474">
        <f t="shared" si="2"/>
        <v>34</v>
      </c>
      <c r="AO8" s="357"/>
      <c r="AP8" s="525" t="s">
        <v>7</v>
      </c>
      <c r="AQ8" s="214">
        <v>76</v>
      </c>
      <c r="AR8" s="478">
        <f t="shared" si="3"/>
        <v>0.68468468468468469</v>
      </c>
      <c r="AS8" s="214">
        <v>35</v>
      </c>
      <c r="AT8" s="478">
        <f t="shared" si="4"/>
        <v>0.31531531531531531</v>
      </c>
      <c r="AU8" s="215">
        <f t="shared" ref="AU8:AU14" si="8">AS8+AQ8</f>
        <v>111</v>
      </c>
      <c r="AV8" s="479">
        <f t="shared" si="5"/>
        <v>1</v>
      </c>
    </row>
    <row r="9" spans="1:52">
      <c r="A9" s="611" t="s">
        <v>23</v>
      </c>
      <c r="B9" s="526" t="s">
        <v>18</v>
      </c>
      <c r="C9" s="485"/>
      <c r="D9" s="486">
        <v>1</v>
      </c>
      <c r="E9" s="486"/>
      <c r="F9" s="486"/>
      <c r="G9" s="486">
        <v>4</v>
      </c>
      <c r="H9" s="486"/>
      <c r="I9" s="492">
        <f t="shared" ref="I9:I12" si="9">SUM(C9,E9,G9)</f>
        <v>4</v>
      </c>
      <c r="J9" s="492">
        <f t="shared" ref="J9:J12" si="10">SUM(D9,F9,H9)</f>
        <v>1</v>
      </c>
      <c r="K9" s="493">
        <f t="shared" ref="K9:K13" si="11">SUM(I9:J9)</f>
        <v>5</v>
      </c>
      <c r="L9" s="494">
        <f t="shared" si="0"/>
        <v>2.8360748723766306E-3</v>
      </c>
      <c r="AA9" s="601"/>
      <c r="AB9" s="525" t="s">
        <v>44</v>
      </c>
      <c r="AC9" s="473"/>
      <c r="AD9" s="473"/>
      <c r="AE9" s="473">
        <v>9</v>
      </c>
      <c r="AF9" s="473">
        <v>9</v>
      </c>
      <c r="AG9" s="474">
        <f t="shared" si="2"/>
        <v>9</v>
      </c>
      <c r="AH9" s="474">
        <f t="shared" si="2"/>
        <v>9</v>
      </c>
      <c r="AO9" s="357"/>
      <c r="AP9" s="525" t="s">
        <v>8</v>
      </c>
      <c r="AQ9" s="214">
        <v>128</v>
      </c>
      <c r="AR9" s="478">
        <f t="shared" si="3"/>
        <v>0.7231638418079096</v>
      </c>
      <c r="AS9" s="214">
        <v>49</v>
      </c>
      <c r="AT9" s="478">
        <f t="shared" si="4"/>
        <v>0.2768361581920904</v>
      </c>
      <c r="AU9" s="215">
        <f t="shared" si="8"/>
        <v>177</v>
      </c>
      <c r="AV9" s="479">
        <f t="shared" si="5"/>
        <v>1</v>
      </c>
    </row>
    <row r="10" spans="1:52">
      <c r="A10" s="612"/>
      <c r="B10" s="527" t="s">
        <v>348</v>
      </c>
      <c r="C10" s="495"/>
      <c r="D10" s="358"/>
      <c r="E10" s="358"/>
      <c r="F10" s="358"/>
      <c r="G10" s="358"/>
      <c r="H10" s="358">
        <v>1</v>
      </c>
      <c r="I10" s="359">
        <f t="shared" si="9"/>
        <v>0</v>
      </c>
      <c r="J10" s="359">
        <f t="shared" si="10"/>
        <v>1</v>
      </c>
      <c r="K10" s="496">
        <f t="shared" si="11"/>
        <v>1</v>
      </c>
      <c r="L10" s="497">
        <f t="shared" si="0"/>
        <v>5.6721497447532619E-4</v>
      </c>
      <c r="AA10" s="601"/>
      <c r="AB10" s="32" t="s">
        <v>28</v>
      </c>
      <c r="AC10" s="216">
        <f>SUM(AC5:AC9)</f>
        <v>647</v>
      </c>
      <c r="AD10" s="216">
        <f t="shared" ref="AD10:AH10" si="12">SUM(AD5:AD9)</f>
        <v>642.20000000000005</v>
      </c>
      <c r="AE10" s="216">
        <f t="shared" si="12"/>
        <v>160</v>
      </c>
      <c r="AF10" s="216">
        <f t="shared" si="12"/>
        <v>146.30000000000001</v>
      </c>
      <c r="AG10" s="217">
        <f t="shared" si="12"/>
        <v>807</v>
      </c>
      <c r="AH10" s="217">
        <f t="shared" si="12"/>
        <v>788.5</v>
      </c>
      <c r="AO10" s="357" t="s">
        <v>5</v>
      </c>
      <c r="AP10" s="525" t="s">
        <v>55</v>
      </c>
      <c r="AQ10" s="214">
        <v>5</v>
      </c>
      <c r="AR10" s="478">
        <f t="shared" si="3"/>
        <v>0.55555555555555558</v>
      </c>
      <c r="AS10" s="214">
        <v>4</v>
      </c>
      <c r="AT10" s="478">
        <f t="shared" si="4"/>
        <v>0.44444444444444442</v>
      </c>
      <c r="AU10" s="215">
        <f t="shared" si="8"/>
        <v>9</v>
      </c>
      <c r="AV10" s="479">
        <f t="shared" si="5"/>
        <v>1</v>
      </c>
    </row>
    <row r="11" spans="1:52" ht="15" customHeight="1">
      <c r="A11" s="612"/>
      <c r="B11" s="527" t="s">
        <v>20</v>
      </c>
      <c r="C11" s="495">
        <v>4</v>
      </c>
      <c r="D11" s="358">
        <v>10</v>
      </c>
      <c r="E11" s="358"/>
      <c r="F11" s="358"/>
      <c r="G11" s="358">
        <v>12</v>
      </c>
      <c r="H11" s="358">
        <v>4</v>
      </c>
      <c r="I11" s="359">
        <f t="shared" si="9"/>
        <v>16</v>
      </c>
      <c r="J11" s="359">
        <f t="shared" si="10"/>
        <v>14</v>
      </c>
      <c r="K11" s="496">
        <f t="shared" si="11"/>
        <v>30</v>
      </c>
      <c r="L11" s="497">
        <f t="shared" si="0"/>
        <v>1.7016449234259785E-2</v>
      </c>
      <c r="AA11" s="601" t="s">
        <v>5</v>
      </c>
      <c r="AB11" s="525" t="s">
        <v>29</v>
      </c>
      <c r="AC11" s="475">
        <v>70</v>
      </c>
      <c r="AD11" s="475">
        <v>66.699999999999989</v>
      </c>
      <c r="AE11" s="475"/>
      <c r="AF11" s="475"/>
      <c r="AG11" s="217">
        <f t="shared" si="2"/>
        <v>70</v>
      </c>
      <c r="AH11" s="217">
        <f t="shared" si="2"/>
        <v>66.699999999999989</v>
      </c>
      <c r="AO11" s="357"/>
      <c r="AP11" s="525" t="s">
        <v>363</v>
      </c>
      <c r="AQ11" s="214">
        <v>8</v>
      </c>
      <c r="AR11" s="478">
        <f t="shared" si="3"/>
        <v>0.72727272727272729</v>
      </c>
      <c r="AS11" s="214">
        <v>3</v>
      </c>
      <c r="AT11" s="478">
        <f t="shared" si="4"/>
        <v>0.27272727272727271</v>
      </c>
      <c r="AU11" s="215">
        <f t="shared" si="8"/>
        <v>11</v>
      </c>
      <c r="AV11" s="479">
        <f t="shared" si="5"/>
        <v>1</v>
      </c>
    </row>
    <row r="12" spans="1:52" ht="15" customHeight="1">
      <c r="A12" s="612"/>
      <c r="B12" s="527" t="s">
        <v>21</v>
      </c>
      <c r="C12" s="495">
        <v>6</v>
      </c>
      <c r="D12" s="358">
        <v>3</v>
      </c>
      <c r="E12" s="358"/>
      <c r="F12" s="358"/>
      <c r="G12" s="358">
        <v>14</v>
      </c>
      <c r="H12" s="358">
        <v>3</v>
      </c>
      <c r="I12" s="359">
        <f t="shared" si="9"/>
        <v>20</v>
      </c>
      <c r="J12" s="359">
        <f t="shared" si="10"/>
        <v>6</v>
      </c>
      <c r="K12" s="496">
        <f t="shared" si="11"/>
        <v>26</v>
      </c>
      <c r="L12" s="497">
        <f t="shared" si="0"/>
        <v>1.4747589336358479E-2</v>
      </c>
      <c r="AA12" s="601"/>
      <c r="AB12" s="525" t="s">
        <v>31</v>
      </c>
      <c r="AC12" s="475">
        <v>290</v>
      </c>
      <c r="AD12" s="475">
        <v>278.70000000000016</v>
      </c>
      <c r="AE12" s="475">
        <v>307</v>
      </c>
      <c r="AF12" s="475">
        <v>291.3</v>
      </c>
      <c r="AG12" s="217">
        <f t="shared" ref="AG12:AG14" si="13">AE12+AC12</f>
        <v>597</v>
      </c>
      <c r="AH12" s="217">
        <f t="shared" ref="AH12:AH14" si="14">AF12+AD12</f>
        <v>570.00000000000023</v>
      </c>
      <c r="AO12" s="357"/>
      <c r="AP12" s="32" t="s">
        <v>32</v>
      </c>
      <c r="AQ12" s="215">
        <f>SUM(AQ8:AQ11)</f>
        <v>217</v>
      </c>
      <c r="AR12" s="482">
        <f t="shared" si="3"/>
        <v>0.70454545454545459</v>
      </c>
      <c r="AS12" s="215">
        <f>SUM(AS8:AS11)</f>
        <v>91</v>
      </c>
      <c r="AT12" s="482">
        <f t="shared" si="4"/>
        <v>0.29545454545454547</v>
      </c>
      <c r="AU12" s="215">
        <f>SUM(AU8:AU11)</f>
        <v>308</v>
      </c>
      <c r="AV12" s="479">
        <f t="shared" si="5"/>
        <v>1</v>
      </c>
    </row>
    <row r="13" spans="1:52" ht="15" customHeight="1">
      <c r="A13" s="613"/>
      <c r="B13" s="213" t="s">
        <v>22</v>
      </c>
      <c r="C13" s="41">
        <f>SUM(C9:C12)</f>
        <v>10</v>
      </c>
      <c r="D13" s="38">
        <f t="shared" ref="D13:H13" si="15">SUM(D9:D12)</f>
        <v>14</v>
      </c>
      <c r="E13" s="38">
        <f t="shared" si="15"/>
        <v>0</v>
      </c>
      <c r="F13" s="38">
        <f t="shared" si="15"/>
        <v>0</v>
      </c>
      <c r="G13" s="38">
        <f t="shared" si="15"/>
        <v>30</v>
      </c>
      <c r="H13" s="38">
        <f t="shared" si="15"/>
        <v>8</v>
      </c>
      <c r="I13" s="38">
        <f>SUM(I9:I12)</f>
        <v>40</v>
      </c>
      <c r="J13" s="38">
        <f>SUM(J9:J12)</f>
        <v>22</v>
      </c>
      <c r="K13" s="39">
        <f t="shared" si="11"/>
        <v>62</v>
      </c>
      <c r="L13" s="40">
        <f t="shared" si="0"/>
        <v>3.5167328417470223E-2</v>
      </c>
      <c r="AA13" s="601"/>
      <c r="AB13" s="525" t="s">
        <v>30</v>
      </c>
      <c r="AC13" s="475">
        <v>43</v>
      </c>
      <c r="AD13" s="475">
        <v>42.100000000000009</v>
      </c>
      <c r="AE13" s="475">
        <v>1</v>
      </c>
      <c r="AF13" s="475">
        <v>1</v>
      </c>
      <c r="AG13" s="217">
        <f t="shared" si="13"/>
        <v>44</v>
      </c>
      <c r="AH13" s="217">
        <f t="shared" si="14"/>
        <v>43.100000000000009</v>
      </c>
      <c r="AO13" s="603" t="s">
        <v>535</v>
      </c>
      <c r="AP13" s="525" t="s">
        <v>7</v>
      </c>
      <c r="AQ13" s="214">
        <v>2</v>
      </c>
      <c r="AR13" s="478">
        <f t="shared" si="3"/>
        <v>0.5</v>
      </c>
      <c r="AS13" s="214">
        <v>2</v>
      </c>
      <c r="AT13" s="478">
        <f t="shared" si="4"/>
        <v>0.5</v>
      </c>
      <c r="AU13" s="215">
        <f t="shared" si="8"/>
        <v>4</v>
      </c>
      <c r="AV13" s="479">
        <f t="shared" si="5"/>
        <v>1</v>
      </c>
    </row>
    <row r="14" spans="1:52">
      <c r="A14" s="616" t="s">
        <v>10</v>
      </c>
      <c r="B14" s="616"/>
      <c r="C14" s="617">
        <f>SUM(C13:D13,C8:D8)</f>
        <v>831</v>
      </c>
      <c r="D14" s="617"/>
      <c r="E14" s="617">
        <f>SUM(E13:F13,E8:F8)</f>
        <v>182</v>
      </c>
      <c r="F14" s="617"/>
      <c r="G14" s="617">
        <f>SUM(G13:H13,G8:H8)</f>
        <v>750</v>
      </c>
      <c r="H14" s="617"/>
      <c r="I14" s="45">
        <f>SUM(I13,I8)</f>
        <v>940</v>
      </c>
      <c r="J14" s="45">
        <f t="shared" ref="J14:K14" si="16">SUM(J13,J8)</f>
        <v>823</v>
      </c>
      <c r="K14" s="45">
        <f t="shared" si="16"/>
        <v>1763</v>
      </c>
      <c r="L14" s="46">
        <f t="shared" si="0"/>
        <v>1</v>
      </c>
      <c r="O14" s="14"/>
      <c r="P14" s="14" t="s">
        <v>24</v>
      </c>
      <c r="Q14" s="14" t="s">
        <v>25</v>
      </c>
      <c r="R14" s="14" t="s">
        <v>37</v>
      </c>
      <c r="S14" s="14" t="s">
        <v>38</v>
      </c>
      <c r="AA14" s="601"/>
      <c r="AB14" s="525" t="s">
        <v>45</v>
      </c>
      <c r="AC14" s="475">
        <v>1</v>
      </c>
      <c r="AD14" s="475">
        <v>1</v>
      </c>
      <c r="AE14" s="475"/>
      <c r="AF14" s="475"/>
      <c r="AG14" s="217">
        <f t="shared" si="13"/>
        <v>1</v>
      </c>
      <c r="AH14" s="217">
        <f t="shared" si="14"/>
        <v>1</v>
      </c>
      <c r="AO14" s="603"/>
      <c r="AP14" s="525" t="s">
        <v>8</v>
      </c>
      <c r="AQ14" s="214">
        <f>23+47</f>
        <v>70</v>
      </c>
      <c r="AR14" s="478">
        <f t="shared" si="3"/>
        <v>0.44025157232704404</v>
      </c>
      <c r="AS14" s="214">
        <f>67+22</f>
        <v>89</v>
      </c>
      <c r="AT14" s="478">
        <f t="shared" si="4"/>
        <v>0.55974842767295596</v>
      </c>
      <c r="AU14" s="215">
        <f t="shared" si="8"/>
        <v>159</v>
      </c>
      <c r="AV14" s="479">
        <f t="shared" si="5"/>
        <v>1</v>
      </c>
    </row>
    <row r="15" spans="1:52" ht="15" customHeight="1">
      <c r="O15" s="14" t="s">
        <v>34</v>
      </c>
      <c r="P15" s="14">
        <f>P5</f>
        <v>322</v>
      </c>
      <c r="Q15" s="14">
        <f>R5</f>
        <v>485</v>
      </c>
      <c r="R15" s="30">
        <f>P15/(P15+Q15)</f>
        <v>0.39900867410161089</v>
      </c>
      <c r="S15" s="30">
        <f>Q15/(P15+Q15)</f>
        <v>0.60099132589838911</v>
      </c>
      <c r="AA15" s="601"/>
      <c r="AB15" s="32" t="s">
        <v>32</v>
      </c>
      <c r="AC15" s="216">
        <f>SUM(AC11:AC14)</f>
        <v>404</v>
      </c>
      <c r="AD15" s="216">
        <f t="shared" ref="AD15:AH15" si="17">SUM(AD11:AD14)</f>
        <v>388.50000000000017</v>
      </c>
      <c r="AE15" s="216">
        <f t="shared" si="17"/>
        <v>308</v>
      </c>
      <c r="AF15" s="216">
        <f t="shared" si="17"/>
        <v>292.3</v>
      </c>
      <c r="AG15" s="217">
        <f t="shared" si="17"/>
        <v>712</v>
      </c>
      <c r="AH15" s="217">
        <f t="shared" si="17"/>
        <v>680.8000000000003</v>
      </c>
      <c r="AO15" s="603"/>
      <c r="AP15" s="525" t="s">
        <v>363</v>
      </c>
      <c r="AQ15" s="214">
        <v>9</v>
      </c>
      <c r="AR15" s="478">
        <f t="shared" si="3"/>
        <v>0.47368421052631576</v>
      </c>
      <c r="AS15" s="214">
        <v>10</v>
      </c>
      <c r="AT15" s="478">
        <f t="shared" si="4"/>
        <v>0.52631578947368418</v>
      </c>
      <c r="AU15" s="215">
        <f t="shared" ref="AU15" si="18">AS15+AQ15</f>
        <v>19</v>
      </c>
      <c r="AV15" s="479">
        <f t="shared" ref="AV15" si="19">AU15/AU15</f>
        <v>1</v>
      </c>
    </row>
    <row r="16" spans="1:52" ht="15.75">
      <c r="A16" s="360" t="s">
        <v>33</v>
      </c>
      <c r="O16" s="14" t="s">
        <v>362</v>
      </c>
      <c r="P16" s="14">
        <f>P6</f>
        <v>81</v>
      </c>
      <c r="Q16" s="14">
        <f>R6</f>
        <v>101</v>
      </c>
      <c r="R16" s="30">
        <f t="shared" ref="R16:R17" si="20">P16/(P16+Q16)</f>
        <v>0.44505494505494503</v>
      </c>
      <c r="S16" s="30">
        <f t="shared" ref="S16:S17" si="21">Q16/(P16+Q16)</f>
        <v>0.55494505494505497</v>
      </c>
      <c r="AA16" s="603" t="s">
        <v>125</v>
      </c>
      <c r="AB16" s="525" t="s">
        <v>46</v>
      </c>
      <c r="AC16" s="475"/>
      <c r="AD16" s="475"/>
      <c r="AE16" s="475">
        <v>114</v>
      </c>
      <c r="AF16" s="475">
        <v>114</v>
      </c>
      <c r="AG16" s="217">
        <f t="shared" ref="AG16:AG17" si="22">AE16+AC16</f>
        <v>114</v>
      </c>
      <c r="AH16" s="217">
        <f t="shared" ref="AH16:AH17" si="23">AF16+AD16</f>
        <v>114</v>
      </c>
      <c r="AO16" s="603"/>
      <c r="AP16" s="32" t="s">
        <v>52</v>
      </c>
      <c r="AQ16" s="215">
        <f>SUM(AQ13:AQ15)</f>
        <v>81</v>
      </c>
      <c r="AR16" s="482">
        <f>AQ16/AU16</f>
        <v>0.44505494505494503</v>
      </c>
      <c r="AS16" s="215">
        <f>SUM(AS13:AS15)</f>
        <v>101</v>
      </c>
      <c r="AT16" s="482">
        <f t="shared" si="4"/>
        <v>0.55494505494505497</v>
      </c>
      <c r="AU16" s="215">
        <f>SUM(AU13:AU15)</f>
        <v>182</v>
      </c>
      <c r="AV16" s="479">
        <f t="shared" si="5"/>
        <v>1</v>
      </c>
    </row>
    <row r="17" spans="1:48" ht="15" customHeight="1">
      <c r="O17" s="14" t="s">
        <v>5</v>
      </c>
      <c r="P17" s="14">
        <f>P7</f>
        <v>497</v>
      </c>
      <c r="Q17" s="14">
        <f>R7</f>
        <v>215</v>
      </c>
      <c r="R17" s="30">
        <f t="shared" si="20"/>
        <v>0.6980337078651685</v>
      </c>
      <c r="S17" s="30">
        <f t="shared" si="21"/>
        <v>0.30196629213483145</v>
      </c>
      <c r="AA17" s="603"/>
      <c r="AB17" s="525" t="s">
        <v>47</v>
      </c>
      <c r="AC17" s="475"/>
      <c r="AD17" s="475"/>
      <c r="AE17" s="475">
        <v>68</v>
      </c>
      <c r="AF17" s="475">
        <v>65.3</v>
      </c>
      <c r="AG17" s="217">
        <f t="shared" si="22"/>
        <v>68</v>
      </c>
      <c r="AH17" s="217">
        <f t="shared" si="23"/>
        <v>65.3</v>
      </c>
      <c r="AO17" s="201" t="s">
        <v>10</v>
      </c>
      <c r="AP17" s="201"/>
      <c r="AQ17" s="477">
        <f>SUM(AQ16,AQ12,AQ7)</f>
        <v>365</v>
      </c>
      <c r="AR17" s="483">
        <f t="shared" si="3"/>
        <v>0.56153846153846154</v>
      </c>
      <c r="AS17" s="477">
        <f>SUM(AS16,AS12,AS7)</f>
        <v>285</v>
      </c>
      <c r="AT17" s="483">
        <f t="shared" si="4"/>
        <v>0.43846153846153846</v>
      </c>
      <c r="AU17" s="477">
        <f>SUM(AU16,AU12,AU7)</f>
        <v>650</v>
      </c>
      <c r="AV17" s="484">
        <f t="shared" si="5"/>
        <v>1</v>
      </c>
    </row>
    <row r="18" spans="1:48" ht="15" customHeight="1">
      <c r="C18" s="15" t="s">
        <v>24</v>
      </c>
      <c r="D18" s="338" t="s">
        <v>25</v>
      </c>
      <c r="E18" s="339" t="s">
        <v>9</v>
      </c>
      <c r="AA18" s="603"/>
      <c r="AB18" s="32" t="s">
        <v>52</v>
      </c>
      <c r="AC18" s="216">
        <f>SUM(AC16:AC17)</f>
        <v>0</v>
      </c>
      <c r="AD18" s="216">
        <f t="shared" ref="AD18:AH18" si="24">SUM(AD16:AD17)</f>
        <v>0</v>
      </c>
      <c r="AE18" s="216">
        <f t="shared" si="24"/>
        <v>182</v>
      </c>
      <c r="AF18" s="216">
        <f t="shared" si="24"/>
        <v>179.3</v>
      </c>
      <c r="AG18" s="217">
        <f t="shared" si="24"/>
        <v>182</v>
      </c>
      <c r="AH18" s="217">
        <f t="shared" si="24"/>
        <v>179.3</v>
      </c>
    </row>
    <row r="19" spans="1:48" ht="15.75">
      <c r="A19" s="604" t="s">
        <v>33</v>
      </c>
      <c r="B19" s="526" t="s">
        <v>528</v>
      </c>
      <c r="C19" s="358">
        <v>12</v>
      </c>
      <c r="D19" s="358">
        <v>18</v>
      </c>
      <c r="E19" s="359">
        <v>30</v>
      </c>
      <c r="AA19" s="602" t="s">
        <v>10</v>
      </c>
      <c r="AB19" s="602"/>
      <c r="AC19" s="476">
        <f>AC18+AC15+AC10</f>
        <v>1051</v>
      </c>
      <c r="AD19" s="476">
        <f t="shared" ref="AD19:AH19" si="25">AD18+AD15+AD10</f>
        <v>1030.7000000000003</v>
      </c>
      <c r="AE19" s="476">
        <f t="shared" si="25"/>
        <v>650</v>
      </c>
      <c r="AF19" s="476">
        <f t="shared" si="25"/>
        <v>617.90000000000009</v>
      </c>
      <c r="AG19" s="476">
        <f t="shared" si="25"/>
        <v>1701</v>
      </c>
      <c r="AH19" s="476">
        <f t="shared" si="25"/>
        <v>1648.6000000000004</v>
      </c>
      <c r="AO19" s="360" t="s">
        <v>57</v>
      </c>
    </row>
    <row r="20" spans="1:48">
      <c r="A20" s="605"/>
      <c r="B20" s="527" t="s">
        <v>529</v>
      </c>
      <c r="C20" s="358">
        <v>3</v>
      </c>
      <c r="D20" s="358">
        <v>4</v>
      </c>
      <c r="E20" s="359">
        <v>7</v>
      </c>
    </row>
    <row r="21" spans="1:48">
      <c r="A21" s="605"/>
      <c r="B21" s="527" t="s">
        <v>530</v>
      </c>
      <c r="C21" s="358">
        <v>2</v>
      </c>
      <c r="D21" s="358">
        <v>2</v>
      </c>
      <c r="E21" s="359">
        <v>4</v>
      </c>
      <c r="AA21" s="34"/>
      <c r="AQ21" s="28" t="s">
        <v>58</v>
      </c>
      <c r="AR21" s="28" t="s">
        <v>60</v>
      </c>
      <c r="AS21" s="28" t="s">
        <v>59</v>
      </c>
      <c r="AT21" s="44" t="s">
        <v>10</v>
      </c>
    </row>
    <row r="22" spans="1:48">
      <c r="A22" s="605"/>
      <c r="B22" s="527" t="s">
        <v>531</v>
      </c>
      <c r="C22" s="358">
        <v>4</v>
      </c>
      <c r="D22" s="358">
        <v>2</v>
      </c>
      <c r="E22" s="359">
        <v>6</v>
      </c>
      <c r="AA22" s="34"/>
      <c r="AO22" s="601" t="s">
        <v>4</v>
      </c>
      <c r="AP22" s="525" t="s">
        <v>24</v>
      </c>
      <c r="AQ22" s="214"/>
      <c r="AR22" s="214"/>
      <c r="AS22" s="214">
        <v>2</v>
      </c>
      <c r="AT22" s="215">
        <f>SUM(AQ22:AS22)</f>
        <v>2</v>
      </c>
    </row>
    <row r="23" spans="1:48">
      <c r="A23" s="605"/>
      <c r="B23" s="527" t="s">
        <v>532</v>
      </c>
      <c r="C23" s="358">
        <v>9</v>
      </c>
      <c r="D23" s="358">
        <v>9</v>
      </c>
      <c r="E23" s="359">
        <v>18</v>
      </c>
      <c r="AA23" s="34"/>
      <c r="AO23" s="601"/>
      <c r="AP23" s="525" t="s">
        <v>25</v>
      </c>
      <c r="AQ23" s="300"/>
      <c r="AR23" s="300">
        <v>1</v>
      </c>
      <c r="AS23" s="300">
        <v>2</v>
      </c>
      <c r="AT23" s="302">
        <f>SUM(AQ23:AS23)</f>
        <v>3</v>
      </c>
    </row>
    <row r="24" spans="1:48">
      <c r="A24" s="605"/>
      <c r="B24" s="527" t="s">
        <v>533</v>
      </c>
      <c r="C24" s="358"/>
      <c r="D24" s="358">
        <v>2</v>
      </c>
      <c r="E24" s="359">
        <v>2</v>
      </c>
      <c r="AA24" s="34"/>
      <c r="AO24" s="601"/>
      <c r="AP24" s="32" t="s">
        <v>28</v>
      </c>
      <c r="AQ24" s="215">
        <f>AQ23+AQ22</f>
        <v>0</v>
      </c>
      <c r="AR24" s="215">
        <f t="shared" ref="AR24:AT24" si="26">AR23+AR22</f>
        <v>1</v>
      </c>
      <c r="AS24" s="215">
        <f t="shared" si="26"/>
        <v>4</v>
      </c>
      <c r="AT24" s="215">
        <f t="shared" si="26"/>
        <v>5</v>
      </c>
    </row>
    <row r="25" spans="1:48">
      <c r="A25" s="606"/>
      <c r="B25" s="213" t="s">
        <v>534</v>
      </c>
      <c r="C25" s="38">
        <f t="shared" ref="C25:D25" si="27">SUM(C19:C24)</f>
        <v>30</v>
      </c>
      <c r="D25" s="38">
        <f t="shared" si="27"/>
        <v>37</v>
      </c>
      <c r="E25" s="38">
        <f>SUM(E19:E24)</f>
        <v>67</v>
      </c>
      <c r="AO25" s="601" t="s">
        <v>5</v>
      </c>
      <c r="AP25" s="525" t="s">
        <v>24</v>
      </c>
      <c r="AQ25" s="214">
        <v>3</v>
      </c>
      <c r="AR25" s="214">
        <v>16</v>
      </c>
      <c r="AS25" s="214">
        <v>5</v>
      </c>
      <c r="AT25" s="215">
        <f>SUM(AQ25:AS25)</f>
        <v>24</v>
      </c>
    </row>
    <row r="26" spans="1:48">
      <c r="AO26" s="601"/>
      <c r="AP26" s="525" t="s">
        <v>25</v>
      </c>
      <c r="AQ26" s="214"/>
      <c r="AR26" s="214">
        <v>6</v>
      </c>
      <c r="AS26" s="214">
        <v>1</v>
      </c>
      <c r="AT26" s="215">
        <f>SUM(AQ26:AS26)</f>
        <v>7</v>
      </c>
    </row>
    <row r="27" spans="1:48">
      <c r="AO27" s="601"/>
      <c r="AP27" s="32" t="s">
        <v>32</v>
      </c>
      <c r="AQ27" s="215">
        <f>AQ26+AQ25</f>
        <v>3</v>
      </c>
      <c r="AR27" s="215">
        <f t="shared" ref="AR27:AT27" si="28">AR26+AR25</f>
        <v>22</v>
      </c>
      <c r="AS27" s="215">
        <f t="shared" si="28"/>
        <v>6</v>
      </c>
      <c r="AT27" s="215">
        <f t="shared" si="28"/>
        <v>31</v>
      </c>
    </row>
    <row r="28" spans="1:48">
      <c r="AO28" s="602" t="s">
        <v>10</v>
      </c>
      <c r="AP28" s="602"/>
      <c r="AQ28" s="477">
        <f>AQ27+AQ24</f>
        <v>3</v>
      </c>
      <c r="AR28" s="477">
        <f t="shared" ref="AR28:AT28" si="29">AR27+AR24</f>
        <v>23</v>
      </c>
      <c r="AS28" s="477">
        <f t="shared" si="29"/>
        <v>10</v>
      </c>
      <c r="AT28" s="477">
        <f t="shared" si="29"/>
        <v>36</v>
      </c>
    </row>
  </sheetData>
  <mergeCells count="19">
    <mergeCell ref="A19:A25"/>
    <mergeCell ref="I3:L4"/>
    <mergeCell ref="AA5:AA10"/>
    <mergeCell ref="AA11:AA15"/>
    <mergeCell ref="A6:A8"/>
    <mergeCell ref="A9:A13"/>
    <mergeCell ref="G3:H4"/>
    <mergeCell ref="A14:B14"/>
    <mergeCell ref="C14:D14"/>
    <mergeCell ref="E14:F14"/>
    <mergeCell ref="G14:H14"/>
    <mergeCell ref="AA16:AA18"/>
    <mergeCell ref="AA19:AB19"/>
    <mergeCell ref="AU3:AV3"/>
    <mergeCell ref="AO22:AO24"/>
    <mergeCell ref="AO25:AO27"/>
    <mergeCell ref="AO28:AP28"/>
    <mergeCell ref="AG3:AH3"/>
    <mergeCell ref="AO13:AO16"/>
  </mergeCells>
  <pageMargins left="0.25" right="0.25" top="1" bottom="0.75" header="0.3" footer="0.3"/>
  <pageSetup paperSize="9" scale="93" orientation="landscape" r:id="rId1"/>
  <headerFooter>
    <oddHeader>&amp;C&amp;"Comic Sans MS,Gras"&amp;10Chapitre I - Emploi - Effectif - Démographie - Parité femmes/hommes
2. Effectifs
2.1 Effectif global au 31/12/23</oddHeader>
    <oddFooter>&amp;C&amp;"-,Gras"&amp;12Base de Données Sociales 2023&amp;R&amp;P</oddFooter>
  </headerFooter>
  <colBreaks count="3" manualBreakCount="3">
    <brk id="13" max="1048575" man="1"/>
    <brk id="25" max="1048575" man="1"/>
    <brk id="3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5216-FA53-44EE-99E5-90367A640912}">
  <sheetPr codeName="Feuil3">
    <tabColor rgb="FF92D050"/>
  </sheetPr>
  <dimension ref="B1:BN88"/>
  <sheetViews>
    <sheetView showGridLines="0" tabSelected="1" view="pageBreakPreview" topLeftCell="M55" zoomScale="80" zoomScaleNormal="100" zoomScaleSheetLayoutView="80" zoomScalePageLayoutView="20" workbookViewId="0">
      <selection activeCell="AK73" sqref="AK73"/>
    </sheetView>
  </sheetViews>
  <sheetFormatPr baseColWidth="10" defaultRowHeight="15"/>
  <cols>
    <col min="1" max="1" width="2.42578125" customWidth="1"/>
    <col min="2" max="2" width="14.85546875" customWidth="1"/>
    <col min="7" max="8" width="12.5703125" bestFit="1" customWidth="1"/>
    <col min="11" max="11" width="39.42578125" customWidth="1"/>
    <col min="12" max="12" width="2.140625" customWidth="1"/>
    <col min="13" max="13" width="22.28515625" customWidth="1"/>
    <col min="14" max="14" width="18.5703125" bestFit="1" customWidth="1"/>
    <col min="15" max="15" width="18" bestFit="1" customWidth="1"/>
    <col min="16" max="16" width="9.28515625" customWidth="1"/>
    <col min="23" max="23" width="24.28515625" customWidth="1"/>
    <col min="24" max="24" width="2.140625" customWidth="1"/>
    <col min="25" max="25" width="1.85546875" customWidth="1"/>
    <col min="26" max="26" width="7.140625" customWidth="1"/>
    <col min="27" max="27" width="11.85546875" customWidth="1"/>
    <col min="28" max="28" width="13.42578125" customWidth="1"/>
    <col min="29" max="29" width="17" bestFit="1" customWidth="1"/>
    <col min="38" max="38" width="5.5703125" customWidth="1"/>
    <col min="39" max="39" width="3.28515625" customWidth="1"/>
    <col min="40" max="40" width="11" bestFit="1" customWidth="1"/>
    <col min="41" max="41" width="12.42578125" bestFit="1" customWidth="1"/>
    <col min="42" max="42" width="4.28515625" customWidth="1"/>
    <col min="43" max="49" width="11.42578125" customWidth="1"/>
    <col min="50" max="50" width="14.85546875" customWidth="1"/>
    <col min="51" max="51" width="7.7109375" hidden="1" customWidth="1"/>
    <col min="52" max="52" width="5.140625" customWidth="1"/>
    <col min="53" max="53" width="2.140625" hidden="1" customWidth="1"/>
    <col min="54" max="59" width="11.5703125" hidden="1" customWidth="1"/>
    <col min="60" max="60" width="5" hidden="1" customWidth="1"/>
    <col min="61" max="66" width="11.5703125" hidden="1" customWidth="1"/>
  </cols>
  <sheetData>
    <row r="1" spans="2:54" s="403" customFormat="1" ht="12" customHeight="1">
      <c r="B1" s="360" t="s">
        <v>61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AM1"/>
      <c r="AN1"/>
      <c r="AO1"/>
      <c r="AP1"/>
      <c r="AQ1"/>
      <c r="AR1"/>
      <c r="AS1"/>
      <c r="AT1"/>
      <c r="BB1" s="360"/>
    </row>
    <row r="2" spans="2:54" ht="3.75" customHeight="1">
      <c r="B2" s="200"/>
      <c r="L2" s="403"/>
      <c r="AT2" s="66"/>
    </row>
    <row r="3" spans="2:54" ht="12" customHeight="1">
      <c r="M3" s="13" t="s">
        <v>66</v>
      </c>
      <c r="R3" s="13" t="s">
        <v>654</v>
      </c>
      <c r="AA3" s="13" t="s">
        <v>100</v>
      </c>
      <c r="AF3" s="13" t="s">
        <v>101</v>
      </c>
      <c r="AM3" s="13" t="s">
        <v>589</v>
      </c>
      <c r="AT3" s="66"/>
    </row>
    <row r="4" spans="2:54" ht="12" customHeight="1">
      <c r="C4" s="48" t="s">
        <v>24</v>
      </c>
      <c r="D4" s="48"/>
      <c r="E4" s="48"/>
      <c r="F4" s="48" t="s">
        <v>25</v>
      </c>
      <c r="G4" s="48"/>
      <c r="H4" s="48"/>
      <c r="I4" s="49" t="s">
        <v>10</v>
      </c>
      <c r="J4" s="49"/>
      <c r="AO4" t="s">
        <v>462</v>
      </c>
      <c r="AP4" t="s">
        <v>463</v>
      </c>
      <c r="AS4" s="66"/>
    </row>
    <row r="5" spans="2:54" ht="12" customHeight="1">
      <c r="C5" s="51" t="s">
        <v>35</v>
      </c>
      <c r="D5" s="51" t="s">
        <v>56</v>
      </c>
      <c r="E5" s="51" t="s">
        <v>65</v>
      </c>
      <c r="F5" s="51" t="s">
        <v>35</v>
      </c>
      <c r="G5" s="51" t="s">
        <v>56</v>
      </c>
      <c r="H5" s="51" t="s">
        <v>65</v>
      </c>
      <c r="I5" s="50" t="s">
        <v>35</v>
      </c>
      <c r="J5" s="50" t="s">
        <v>65</v>
      </c>
      <c r="S5" t="s">
        <v>6</v>
      </c>
      <c r="T5" t="s">
        <v>67</v>
      </c>
      <c r="AN5" t="s">
        <v>7</v>
      </c>
      <c r="AO5">
        <f>AD58</f>
        <v>76</v>
      </c>
      <c r="AP5">
        <f>AG58</f>
        <v>35</v>
      </c>
    </row>
    <row r="6" spans="2:54" ht="12" customHeight="1">
      <c r="B6" s="521" t="s">
        <v>62</v>
      </c>
      <c r="C6" s="61">
        <v>138</v>
      </c>
      <c r="D6" s="62">
        <f>C6/I6</f>
        <v>0.58974358974358976</v>
      </c>
      <c r="E6" s="62">
        <f>C6/$C$9</f>
        <v>0.27766599597585512</v>
      </c>
      <c r="F6" s="61">
        <v>96</v>
      </c>
      <c r="G6" s="62">
        <f>F6/I6</f>
        <v>0.41025641025641024</v>
      </c>
      <c r="H6" s="62">
        <f>F6/$F$9</f>
        <v>0.44651162790697674</v>
      </c>
      <c r="I6" s="63">
        <f>F6+C6</f>
        <v>234</v>
      </c>
      <c r="J6" s="64">
        <f>I6/$I$9</f>
        <v>0.32865168539325845</v>
      </c>
      <c r="M6" s="59"/>
      <c r="N6" s="59"/>
      <c r="O6" s="59"/>
      <c r="P6" s="59"/>
      <c r="Q6" s="59"/>
      <c r="R6" t="s">
        <v>64</v>
      </c>
      <c r="S6" s="59">
        <f>F71</f>
        <v>124.39999999999999</v>
      </c>
      <c r="T6" s="59">
        <f>H71</f>
        <v>113.69999999999999</v>
      </c>
      <c r="U6" s="59"/>
      <c r="V6" s="59"/>
      <c r="AN6" t="s">
        <v>8</v>
      </c>
      <c r="AO6">
        <v>141</v>
      </c>
      <c r="AP6">
        <v>56</v>
      </c>
    </row>
    <row r="7" spans="2:54" ht="12" customHeight="1">
      <c r="B7" s="521" t="s">
        <v>63</v>
      </c>
      <c r="C7" s="61">
        <v>169</v>
      </c>
      <c r="D7" s="62">
        <f t="shared" ref="D7:D9" si="0">C7/I7</f>
        <v>0.75111111111111106</v>
      </c>
      <c r="E7" s="62">
        <f>C7/$C$9</f>
        <v>0.34004024144869216</v>
      </c>
      <c r="F7" s="61">
        <v>56</v>
      </c>
      <c r="G7" s="62">
        <f t="shared" ref="G7:G9" si="1">F7/I7</f>
        <v>0.24888888888888888</v>
      </c>
      <c r="H7" s="62">
        <f>F7/$F$9</f>
        <v>0.26046511627906976</v>
      </c>
      <c r="I7" s="63">
        <f t="shared" ref="I7:I8" si="2">F7+C7</f>
        <v>225</v>
      </c>
      <c r="J7" s="64">
        <f>I7/$I$9</f>
        <v>0.3160112359550562</v>
      </c>
      <c r="R7" s="59" t="s">
        <v>63</v>
      </c>
      <c r="S7" s="59">
        <f>F67</f>
        <v>128.1</v>
      </c>
      <c r="T7" s="59">
        <f>H67</f>
        <v>90.3</v>
      </c>
    </row>
    <row r="8" spans="2:54" ht="12" customHeight="1">
      <c r="B8" s="521" t="s">
        <v>64</v>
      </c>
      <c r="C8" s="61">
        <v>190</v>
      </c>
      <c r="D8" s="62">
        <f t="shared" si="0"/>
        <v>0.75098814229249011</v>
      </c>
      <c r="E8" s="62">
        <f>C8/$C$9</f>
        <v>0.38229376257545272</v>
      </c>
      <c r="F8" s="61">
        <v>63</v>
      </c>
      <c r="G8" s="62">
        <f t="shared" si="1"/>
        <v>0.24901185770750989</v>
      </c>
      <c r="H8" s="62">
        <f>F8/$F$9</f>
        <v>0.2930232558139535</v>
      </c>
      <c r="I8" s="63">
        <f t="shared" si="2"/>
        <v>253</v>
      </c>
      <c r="J8" s="64">
        <f>I8/$I$9</f>
        <v>0.3553370786516854</v>
      </c>
      <c r="M8" s="60"/>
      <c r="N8" s="60"/>
      <c r="O8" s="60"/>
      <c r="P8" s="60"/>
      <c r="Q8" s="60"/>
      <c r="R8" t="s">
        <v>62</v>
      </c>
      <c r="S8" s="435">
        <f>F63</f>
        <v>136</v>
      </c>
      <c r="T8" s="435">
        <f>H63</f>
        <v>88.299999999999983</v>
      </c>
      <c r="U8" s="60"/>
      <c r="V8" s="60"/>
    </row>
    <row r="9" spans="2:54" ht="12" customHeight="1">
      <c r="B9" s="218" t="s">
        <v>10</v>
      </c>
      <c r="C9" s="63">
        <f>SUM(C6:C8)</f>
        <v>497</v>
      </c>
      <c r="D9" s="64">
        <f t="shared" si="0"/>
        <v>0.6980337078651685</v>
      </c>
      <c r="E9" s="64">
        <f>C9/$C$9</f>
        <v>1</v>
      </c>
      <c r="F9" s="63">
        <f>SUM(F6:F8)</f>
        <v>215</v>
      </c>
      <c r="G9" s="64">
        <f t="shared" si="1"/>
        <v>0.30196629213483145</v>
      </c>
      <c r="H9" s="64">
        <f>F9/$F$9</f>
        <v>1</v>
      </c>
      <c r="I9" s="63">
        <f>SUM(I6:I8)</f>
        <v>712</v>
      </c>
      <c r="J9" s="64">
        <f>I9/$I$9</f>
        <v>1</v>
      </c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2:54" ht="12" customHeight="1"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2:54" ht="12" customHeight="1">
      <c r="B11" s="13" t="s">
        <v>71</v>
      </c>
      <c r="G11" s="13" t="s">
        <v>68</v>
      </c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2:54" ht="12" customHeight="1"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2:54" ht="12" customHeight="1">
      <c r="C13" t="s">
        <v>6</v>
      </c>
      <c r="D13" t="s">
        <v>67</v>
      </c>
    </row>
    <row r="14" spans="2:54" ht="12" customHeight="1">
      <c r="B14" t="s">
        <v>64</v>
      </c>
      <c r="C14">
        <f>V59+V68+V77</f>
        <v>132</v>
      </c>
      <c r="D14">
        <f>AJ57+AJ67+AJ75+AJ85</f>
        <v>121</v>
      </c>
    </row>
    <row r="15" spans="2:54" ht="12" customHeight="1">
      <c r="B15" t="s">
        <v>63</v>
      </c>
      <c r="C15">
        <f>V57+V66+V75</f>
        <v>132</v>
      </c>
      <c r="D15">
        <f>AJ55+AJ64+AJ73+AJ82</f>
        <v>93</v>
      </c>
    </row>
    <row r="16" spans="2:54" ht="12" customHeight="1">
      <c r="B16" t="s">
        <v>62</v>
      </c>
      <c r="C16">
        <f>V55+V64+V73+V81</f>
        <v>140</v>
      </c>
      <c r="D16">
        <f>AJ53+AJ62+AJ71+AJ80</f>
        <v>94</v>
      </c>
    </row>
    <row r="17" spans="2:12" ht="12" customHeight="1">
      <c r="C17">
        <f>SUM(C14:C16)</f>
        <v>404</v>
      </c>
      <c r="D17">
        <f>SUM(D14:D16)</f>
        <v>308</v>
      </c>
    </row>
    <row r="18" spans="2:12" ht="12" customHeight="1"/>
    <row r="19" spans="2:12" ht="12" customHeight="1"/>
    <row r="20" spans="2:12" ht="12" customHeight="1"/>
    <row r="21" spans="2:12" ht="12" customHeight="1"/>
    <row r="22" spans="2:12" ht="12" customHeight="1"/>
    <row r="23" spans="2:12" ht="12" customHeight="1"/>
    <row r="24" spans="2:12" ht="12" customHeight="1"/>
    <row r="25" spans="2:12" ht="12" customHeight="1"/>
    <row r="26" spans="2:12" ht="12" customHeight="1"/>
    <row r="27" spans="2:12" ht="12" customHeight="1"/>
    <row r="28" spans="2:12" ht="12" customHeight="1"/>
    <row r="29" spans="2:12" ht="12" customHeight="1">
      <c r="B29" s="13" t="s">
        <v>69</v>
      </c>
      <c r="G29" s="13" t="s">
        <v>70</v>
      </c>
    </row>
    <row r="30" spans="2:12" ht="12" customHeight="1"/>
    <row r="31" spans="2:12" ht="12" customHeight="1">
      <c r="B31" t="s">
        <v>31</v>
      </c>
      <c r="C31">
        <f>SUM(I55:I57,I65,I69)</f>
        <v>597</v>
      </c>
    </row>
    <row r="32" spans="2:12" ht="12" customHeight="1">
      <c r="B32" t="s">
        <v>29</v>
      </c>
      <c r="C32">
        <f>V60</f>
        <v>70</v>
      </c>
      <c r="H32" t="s">
        <v>24</v>
      </c>
      <c r="J32" t="s">
        <v>25</v>
      </c>
      <c r="K32" s="59" t="s">
        <v>26</v>
      </c>
      <c r="L32" s="59"/>
    </row>
    <row r="33" spans="2:51" ht="12" customHeight="1">
      <c r="B33" t="s">
        <v>30</v>
      </c>
      <c r="C33">
        <f>V69</f>
        <v>43</v>
      </c>
      <c r="H33" t="s">
        <v>35</v>
      </c>
      <c r="I33" t="s">
        <v>26</v>
      </c>
      <c r="J33" t="s">
        <v>35</v>
      </c>
    </row>
    <row r="34" spans="2:51" ht="12" customHeight="1">
      <c r="B34" t="s">
        <v>45</v>
      </c>
      <c r="C34">
        <f>V82</f>
        <v>1</v>
      </c>
      <c r="G34" t="s">
        <v>64</v>
      </c>
      <c r="H34">
        <f>C8</f>
        <v>190</v>
      </c>
      <c r="I34" s="29">
        <f>H34/(H34+J34)</f>
        <v>0.75098814229249011</v>
      </c>
      <c r="J34">
        <f>F8</f>
        <v>63</v>
      </c>
      <c r="K34" s="60">
        <f>J34/(J34+H34)</f>
        <v>0.24901185770750989</v>
      </c>
      <c r="L34" s="60"/>
    </row>
    <row r="35" spans="2:51" ht="12" customHeight="1">
      <c r="G35" t="s">
        <v>63</v>
      </c>
      <c r="H35">
        <f>C7</f>
        <v>169</v>
      </c>
      <c r="I35" s="29">
        <f t="shared" ref="I35" si="3">H35/(H35+J35)</f>
        <v>0.75111111111111106</v>
      </c>
      <c r="J35">
        <f>F7</f>
        <v>56</v>
      </c>
      <c r="K35" s="60">
        <f>J35/(J35+H35)</f>
        <v>0.24888888888888888</v>
      </c>
      <c r="L35" s="60"/>
    </row>
    <row r="36" spans="2:51" ht="12" customHeight="1">
      <c r="G36" t="s">
        <v>62</v>
      </c>
      <c r="H36">
        <f>C6</f>
        <v>138</v>
      </c>
      <c r="I36" s="29">
        <f>H36/(H36+J36)</f>
        <v>0.58974358974358976</v>
      </c>
      <c r="J36">
        <f>F6</f>
        <v>96</v>
      </c>
      <c r="K36" s="60">
        <f>J36/(J36+H36)</f>
        <v>0.41025641025641024</v>
      </c>
      <c r="L36" s="60"/>
    </row>
    <row r="37" spans="2:51" ht="12" customHeight="1">
      <c r="I37" s="29"/>
      <c r="K37" s="60"/>
      <c r="L37" s="60"/>
    </row>
    <row r="38" spans="2:51" ht="12" customHeight="1">
      <c r="K38" s="60"/>
      <c r="L38" s="60"/>
      <c r="AA38" s="13"/>
      <c r="AF38" s="13"/>
    </row>
    <row r="39" spans="2:51" ht="12" customHeight="1">
      <c r="AA39" s="13"/>
      <c r="AF39" s="13"/>
    </row>
    <row r="40" spans="2:51" ht="12" customHeight="1">
      <c r="AA40" s="13"/>
      <c r="AF40" s="13"/>
    </row>
    <row r="41" spans="2:51" ht="12" customHeight="1">
      <c r="AA41" s="13"/>
      <c r="AF41" s="13"/>
    </row>
    <row r="42" spans="2:51" ht="9.6" customHeight="1"/>
    <row r="43" spans="2:51" ht="6" hidden="1" customHeight="1">
      <c r="AM43" s="427"/>
      <c r="AN43" s="438" t="s">
        <v>104</v>
      </c>
      <c r="AO43" s="438"/>
      <c r="AP43" s="438"/>
      <c r="AQ43" s="438"/>
      <c r="AR43" s="513">
        <f>AD87+AD68</f>
        <v>141</v>
      </c>
      <c r="AS43" s="513">
        <f>AE87+AE68</f>
        <v>133.69999999999999</v>
      </c>
      <c r="AT43" s="514">
        <f t="shared" ref="AT43:AT44" si="4">AR43/AX43</f>
        <v>0.71573604060913709</v>
      </c>
      <c r="AU43" s="513">
        <f>AG87+AG68</f>
        <v>56</v>
      </c>
      <c r="AV43" s="513">
        <f>AH87+AH68</f>
        <v>53.699999999999996</v>
      </c>
      <c r="AW43" s="514">
        <f t="shared" ref="AW43:AW44" si="5">AU43/AX43</f>
        <v>0.28426395939086296</v>
      </c>
      <c r="AX43" s="509">
        <f>AR43+AU43</f>
        <v>197</v>
      </c>
      <c r="AY43" s="509">
        <f t="shared" ref="AY43" si="6">AS43+AV43</f>
        <v>187.39999999999998</v>
      </c>
    </row>
    <row r="44" spans="2:51" ht="12" hidden="1" customHeight="1">
      <c r="AM44" s="439" t="s">
        <v>10</v>
      </c>
      <c r="AN44" s="439"/>
      <c r="AO44" s="439"/>
      <c r="AP44" s="439"/>
      <c r="AQ44" s="439"/>
      <c r="AR44" s="515">
        <f>AR43+AD58</f>
        <v>217</v>
      </c>
      <c r="AS44" s="515">
        <f>AS43+AE58</f>
        <v>205.39999999999998</v>
      </c>
      <c r="AT44" s="514">
        <f t="shared" si="4"/>
        <v>0.70454545454545459</v>
      </c>
      <c r="AU44" s="515">
        <f>AU43+AG58</f>
        <v>91</v>
      </c>
      <c r="AV44" s="515">
        <f>AV43+AH58</f>
        <v>86.9</v>
      </c>
      <c r="AW44" s="514">
        <f t="shared" si="5"/>
        <v>0.29545454545454547</v>
      </c>
      <c r="AX44" s="515">
        <f t="shared" ref="AX44" si="7">AR44+AU44</f>
        <v>308</v>
      </c>
      <c r="AY44" s="515">
        <f t="shared" ref="AY44" si="8">AS44+AV44</f>
        <v>292.29999999999995</v>
      </c>
    </row>
    <row r="45" spans="2:51" ht="12" hidden="1" customHeight="1"/>
    <row r="46" spans="2:51" ht="12" customHeight="1"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</row>
    <row r="47" spans="2:51" ht="12" customHeight="1">
      <c r="B47" s="13" t="s">
        <v>66</v>
      </c>
      <c r="C47" s="403"/>
      <c r="D47" s="403"/>
      <c r="E47" s="403"/>
      <c r="F47" s="403"/>
      <c r="G47" s="403"/>
      <c r="H47" s="403"/>
      <c r="I47" s="403"/>
      <c r="J47" s="403"/>
      <c r="M47" s="360" t="s">
        <v>72</v>
      </c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Z47" s="360" t="s">
        <v>102</v>
      </c>
    </row>
    <row r="48" spans="2:51" ht="15.75">
      <c r="M48" s="200"/>
      <c r="AD48" s="65" t="s">
        <v>24</v>
      </c>
      <c r="AE48" s="65"/>
      <c r="AF48" s="65"/>
      <c r="AG48" s="65" t="s">
        <v>25</v>
      </c>
      <c r="AH48" s="65"/>
      <c r="AI48" s="65"/>
      <c r="AJ48" s="622" t="s">
        <v>10</v>
      </c>
      <c r="AK48" s="622"/>
    </row>
    <row r="49" spans="2:37">
      <c r="B49" s="127"/>
      <c r="C49" s="127"/>
      <c r="D49" s="127"/>
      <c r="E49" s="428" t="s">
        <v>6</v>
      </c>
      <c r="F49" s="428"/>
      <c r="G49" s="428" t="s">
        <v>67</v>
      </c>
      <c r="H49" s="428"/>
      <c r="I49" s="428" t="s">
        <v>9</v>
      </c>
      <c r="J49" s="428"/>
      <c r="P49" s="65" t="s">
        <v>24</v>
      </c>
      <c r="Q49" s="65"/>
      <c r="R49" s="65"/>
      <c r="S49" s="65" t="s">
        <v>25</v>
      </c>
      <c r="T49" s="65"/>
      <c r="U49" s="65"/>
      <c r="V49" s="619" t="s">
        <v>10</v>
      </c>
      <c r="W49" s="619"/>
      <c r="AD49" s="422" t="s">
        <v>35</v>
      </c>
      <c r="AE49" s="422" t="s">
        <v>49</v>
      </c>
      <c r="AF49" s="422" t="s">
        <v>56</v>
      </c>
      <c r="AG49" s="422" t="s">
        <v>35</v>
      </c>
      <c r="AH49" s="422" t="s">
        <v>49</v>
      </c>
      <c r="AI49" s="422" t="s">
        <v>56</v>
      </c>
      <c r="AJ49" s="422" t="s">
        <v>35</v>
      </c>
      <c r="AK49" s="422" t="s">
        <v>49</v>
      </c>
    </row>
    <row r="50" spans="2:37">
      <c r="B50" s="127"/>
      <c r="C50" s="127"/>
      <c r="D50" s="127"/>
      <c r="E50" s="429" t="s">
        <v>35</v>
      </c>
      <c r="F50" s="429" t="s">
        <v>49</v>
      </c>
      <c r="G50" s="429" t="s">
        <v>35</v>
      </c>
      <c r="H50" s="429" t="s">
        <v>49</v>
      </c>
      <c r="I50" s="429" t="s">
        <v>35</v>
      </c>
      <c r="J50" s="429" t="s">
        <v>49</v>
      </c>
      <c r="P50" s="53" t="s">
        <v>35</v>
      </c>
      <c r="Q50" s="53" t="s">
        <v>49</v>
      </c>
      <c r="R50" s="53" t="s">
        <v>56</v>
      </c>
      <c r="S50" s="53" t="s">
        <v>35</v>
      </c>
      <c r="T50" s="53" t="s">
        <v>49</v>
      </c>
      <c r="U50" s="53" t="s">
        <v>56</v>
      </c>
      <c r="V50" s="53" t="s">
        <v>35</v>
      </c>
      <c r="W50" s="53" t="s">
        <v>49</v>
      </c>
      <c r="Z50" s="426" t="s">
        <v>7</v>
      </c>
      <c r="AA50" s="424"/>
      <c r="AB50" s="424" t="s">
        <v>62</v>
      </c>
      <c r="AC50" s="424" t="s">
        <v>89</v>
      </c>
      <c r="AD50" s="507">
        <v>4</v>
      </c>
      <c r="AE50" s="507">
        <v>3.6</v>
      </c>
      <c r="AF50" s="508">
        <f t="shared" ref="AF50:AF58" si="9">AD50/AJ50</f>
        <v>0.66666666666666663</v>
      </c>
      <c r="AG50" s="507">
        <v>2</v>
      </c>
      <c r="AH50" s="507">
        <v>2</v>
      </c>
      <c r="AI50" s="508">
        <f t="shared" ref="AI50:AI58" si="10">AG50/AJ50</f>
        <v>0.33333333333333331</v>
      </c>
      <c r="AJ50" s="453">
        <f t="shared" ref="AJ50:AJ67" si="11">AD50+AG50</f>
        <v>6</v>
      </c>
      <c r="AK50" s="453">
        <f t="shared" ref="AK50:AK67" si="12">AE50+AH50</f>
        <v>5.6</v>
      </c>
    </row>
    <row r="51" spans="2:37">
      <c r="B51" s="522" t="s">
        <v>62</v>
      </c>
      <c r="C51" s="522" t="s">
        <v>29</v>
      </c>
      <c r="D51" s="522" t="s">
        <v>79</v>
      </c>
      <c r="E51" s="430">
        <v>1</v>
      </c>
      <c r="F51" s="430">
        <v>1</v>
      </c>
      <c r="G51" s="430"/>
      <c r="H51" s="430"/>
      <c r="I51" s="431">
        <f t="shared" ref="I51:I72" si="13">E51+G51</f>
        <v>1</v>
      </c>
      <c r="J51" s="431">
        <f t="shared" ref="J51:J72" si="14">F51+H51</f>
        <v>1</v>
      </c>
      <c r="M51" s="52" t="s">
        <v>29</v>
      </c>
      <c r="N51" s="208" t="s">
        <v>62</v>
      </c>
      <c r="O51" s="208" t="s">
        <v>79</v>
      </c>
      <c r="P51" s="440"/>
      <c r="Q51" s="440"/>
      <c r="R51" s="441">
        <f t="shared" ref="R51:R52" si="15">P51/V51</f>
        <v>0</v>
      </c>
      <c r="S51" s="440">
        <v>1</v>
      </c>
      <c r="T51" s="440">
        <v>1</v>
      </c>
      <c r="U51" s="441">
        <f>S51/V51</f>
        <v>1</v>
      </c>
      <c r="V51" s="452">
        <f t="shared" ref="V51:W53" si="16">S51+P51</f>
        <v>1</v>
      </c>
      <c r="W51" s="452">
        <f t="shared" si="16"/>
        <v>1</v>
      </c>
      <c r="Z51" s="426"/>
      <c r="AA51" s="424"/>
      <c r="AB51" s="424"/>
      <c r="AC51" s="424" t="s">
        <v>90</v>
      </c>
      <c r="AD51" s="507">
        <v>19</v>
      </c>
      <c r="AE51" s="507">
        <v>17.899999999999999</v>
      </c>
      <c r="AF51" s="508">
        <f t="shared" si="9"/>
        <v>0.6785714285714286</v>
      </c>
      <c r="AG51" s="507">
        <v>9</v>
      </c>
      <c r="AH51" s="507">
        <v>8.8000000000000007</v>
      </c>
      <c r="AI51" s="508">
        <f t="shared" si="10"/>
        <v>0.32142857142857145</v>
      </c>
      <c r="AJ51" s="453">
        <f t="shared" si="11"/>
        <v>28</v>
      </c>
      <c r="AK51" s="453">
        <f t="shared" si="12"/>
        <v>26.7</v>
      </c>
    </row>
    <row r="52" spans="2:37">
      <c r="B52" s="522"/>
      <c r="C52" s="522"/>
      <c r="D52" s="522" t="s">
        <v>80</v>
      </c>
      <c r="E52" s="430">
        <v>1</v>
      </c>
      <c r="F52" s="430">
        <v>1</v>
      </c>
      <c r="G52" s="430"/>
      <c r="H52" s="430"/>
      <c r="I52" s="431">
        <f t="shared" si="13"/>
        <v>1</v>
      </c>
      <c r="J52" s="431">
        <f t="shared" si="14"/>
        <v>1</v>
      </c>
      <c r="M52" s="52"/>
      <c r="N52" s="208"/>
      <c r="O52" s="208" t="s">
        <v>80</v>
      </c>
      <c r="P52" s="440">
        <v>1</v>
      </c>
      <c r="Q52" s="440">
        <v>1</v>
      </c>
      <c r="R52" s="441">
        <f t="shared" si="15"/>
        <v>1</v>
      </c>
      <c r="S52" s="440"/>
      <c r="T52" s="440"/>
      <c r="U52" s="441">
        <v>0</v>
      </c>
      <c r="V52" s="452">
        <f t="shared" si="16"/>
        <v>1</v>
      </c>
      <c r="W52" s="452">
        <f t="shared" si="16"/>
        <v>1</v>
      </c>
      <c r="Z52" s="426"/>
      <c r="AA52" s="424"/>
      <c r="AB52" s="424"/>
      <c r="AC52" s="424" t="s">
        <v>91</v>
      </c>
      <c r="AD52" s="507">
        <v>7</v>
      </c>
      <c r="AE52" s="507">
        <v>6.2</v>
      </c>
      <c r="AF52" s="508">
        <f t="shared" si="9"/>
        <v>0.77777777777777779</v>
      </c>
      <c r="AG52" s="507">
        <v>2</v>
      </c>
      <c r="AH52" s="507">
        <v>1.8</v>
      </c>
      <c r="AI52" s="508">
        <f t="shared" si="10"/>
        <v>0.22222222222222221</v>
      </c>
      <c r="AJ52" s="453">
        <f t="shared" si="11"/>
        <v>9</v>
      </c>
      <c r="AK52" s="453">
        <f t="shared" si="12"/>
        <v>8</v>
      </c>
    </row>
    <row r="53" spans="2:37">
      <c r="B53" s="522"/>
      <c r="C53" s="522"/>
      <c r="D53" s="522" t="s">
        <v>96</v>
      </c>
      <c r="E53" s="430"/>
      <c r="F53" s="430"/>
      <c r="G53" s="430"/>
      <c r="H53" s="430"/>
      <c r="I53" s="431">
        <f t="shared" si="13"/>
        <v>0</v>
      </c>
      <c r="J53" s="431">
        <f t="shared" si="14"/>
        <v>0</v>
      </c>
      <c r="M53" s="52"/>
      <c r="N53" s="208"/>
      <c r="O53" s="208" t="s">
        <v>96</v>
      </c>
      <c r="P53" s="440"/>
      <c r="Q53" s="440"/>
      <c r="R53" s="441">
        <v>0</v>
      </c>
      <c r="S53" s="440"/>
      <c r="T53" s="440"/>
      <c r="U53" s="441">
        <v>0</v>
      </c>
      <c r="V53" s="452">
        <f t="shared" si="16"/>
        <v>0</v>
      </c>
      <c r="W53" s="452">
        <f t="shared" si="16"/>
        <v>0</v>
      </c>
      <c r="Z53" s="426"/>
      <c r="AA53" s="424"/>
      <c r="AB53" s="212"/>
      <c r="AC53" s="212" t="s">
        <v>97</v>
      </c>
      <c r="AD53" s="453">
        <f>SUM(AD50:AD52)</f>
        <v>30</v>
      </c>
      <c r="AE53" s="453">
        <f>SUM(AE50:AE52)</f>
        <v>27.7</v>
      </c>
      <c r="AF53" s="58">
        <f t="shared" si="9"/>
        <v>0.69767441860465118</v>
      </c>
      <c r="AG53" s="453">
        <f>SUM(AG50:AG52)</f>
        <v>13</v>
      </c>
      <c r="AH53" s="453">
        <f>SUM(AH50:AH52)</f>
        <v>12.600000000000001</v>
      </c>
      <c r="AI53" s="58">
        <f t="shared" si="10"/>
        <v>0.30232558139534882</v>
      </c>
      <c r="AJ53" s="453">
        <f t="shared" si="11"/>
        <v>43</v>
      </c>
      <c r="AK53" s="453">
        <f t="shared" si="12"/>
        <v>40.299999999999997</v>
      </c>
    </row>
    <row r="54" spans="2:37">
      <c r="B54" s="522"/>
      <c r="C54" s="522"/>
      <c r="D54" s="522" t="s">
        <v>81</v>
      </c>
      <c r="E54" s="430">
        <v>13</v>
      </c>
      <c r="F54" s="430">
        <v>12.5</v>
      </c>
      <c r="G54" s="430"/>
      <c r="H54" s="430"/>
      <c r="I54" s="431">
        <f t="shared" si="13"/>
        <v>13</v>
      </c>
      <c r="J54" s="431">
        <f t="shared" si="14"/>
        <v>12.5</v>
      </c>
      <c r="M54" s="52"/>
      <c r="N54" s="208"/>
      <c r="O54" s="208" t="s">
        <v>81</v>
      </c>
      <c r="P54" s="440">
        <v>9</v>
      </c>
      <c r="Q54" s="440">
        <v>8.5</v>
      </c>
      <c r="R54" s="441">
        <f>P54/V54</f>
        <v>0.69230769230769229</v>
      </c>
      <c r="S54" s="440">
        <v>4</v>
      </c>
      <c r="T54" s="440">
        <v>4</v>
      </c>
      <c r="U54" s="441">
        <f t="shared" ref="U54:U83" si="17">S54/V54</f>
        <v>0.30769230769230771</v>
      </c>
      <c r="V54" s="452">
        <f t="shared" ref="V54:V82" si="18">S54+P54</f>
        <v>13</v>
      </c>
      <c r="W54" s="452">
        <f t="shared" ref="W54:W82" si="19">T54+Q54</f>
        <v>12.5</v>
      </c>
      <c r="Z54" s="426"/>
      <c r="AA54" s="424"/>
      <c r="AB54" s="424" t="s">
        <v>63</v>
      </c>
      <c r="AC54" s="424" t="s">
        <v>92</v>
      </c>
      <c r="AD54" s="507">
        <v>19</v>
      </c>
      <c r="AE54" s="507">
        <v>18.399999999999999</v>
      </c>
      <c r="AF54" s="508">
        <f t="shared" si="9"/>
        <v>0.65517241379310343</v>
      </c>
      <c r="AG54" s="507">
        <v>10</v>
      </c>
      <c r="AH54" s="507">
        <v>9.5</v>
      </c>
      <c r="AI54" s="508">
        <f t="shared" si="10"/>
        <v>0.34482758620689657</v>
      </c>
      <c r="AJ54" s="453">
        <f t="shared" si="11"/>
        <v>29</v>
      </c>
      <c r="AK54" s="453">
        <f t="shared" si="12"/>
        <v>27.9</v>
      </c>
    </row>
    <row r="55" spans="2:37">
      <c r="B55" s="522"/>
      <c r="C55" s="522" t="s">
        <v>31</v>
      </c>
      <c r="D55" s="522" t="s">
        <v>89</v>
      </c>
      <c r="E55" s="430">
        <v>15</v>
      </c>
      <c r="F55" s="430">
        <v>14.3</v>
      </c>
      <c r="G55" s="430">
        <v>6</v>
      </c>
      <c r="H55" s="430">
        <v>5.6</v>
      </c>
      <c r="I55" s="431">
        <f t="shared" si="13"/>
        <v>21</v>
      </c>
      <c r="J55" s="431">
        <f t="shared" si="14"/>
        <v>19.899999999999999</v>
      </c>
      <c r="M55" s="52"/>
      <c r="N55" s="620" t="s">
        <v>97</v>
      </c>
      <c r="O55" s="620"/>
      <c r="P55" s="452">
        <f>SUM(P51:P54)</f>
        <v>10</v>
      </c>
      <c r="Q55" s="452">
        <f>SUM(Q51:Q54)</f>
        <v>9.5</v>
      </c>
      <c r="R55" s="54">
        <f>P55/V55</f>
        <v>0.66666666666666663</v>
      </c>
      <c r="S55" s="452">
        <f t="shared" ref="S55:T55" si="20">SUM(S51:S54)</f>
        <v>5</v>
      </c>
      <c r="T55" s="452">
        <f t="shared" si="20"/>
        <v>5</v>
      </c>
      <c r="U55" s="54">
        <f t="shared" si="17"/>
        <v>0.33333333333333331</v>
      </c>
      <c r="V55" s="452">
        <f t="shared" ref="V55:W55" si="21">SUM(V51:V54)</f>
        <v>15</v>
      </c>
      <c r="W55" s="452">
        <f t="shared" si="21"/>
        <v>14.5</v>
      </c>
      <c r="Z55" s="426"/>
      <c r="AA55" s="424"/>
      <c r="AB55" s="212"/>
      <c r="AC55" s="212" t="s">
        <v>98</v>
      </c>
      <c r="AD55" s="453">
        <f>AD54</f>
        <v>19</v>
      </c>
      <c r="AE55" s="453">
        <f>AE54</f>
        <v>18.399999999999999</v>
      </c>
      <c r="AF55" s="58">
        <f t="shared" si="9"/>
        <v>0.65517241379310343</v>
      </c>
      <c r="AG55" s="453">
        <f>AG54</f>
        <v>10</v>
      </c>
      <c r="AH55" s="453">
        <f>AH54</f>
        <v>9.5</v>
      </c>
      <c r="AI55" s="58">
        <f t="shared" si="10"/>
        <v>0.34482758620689657</v>
      </c>
      <c r="AJ55" s="453">
        <f t="shared" si="11"/>
        <v>29</v>
      </c>
      <c r="AK55" s="453">
        <f t="shared" si="12"/>
        <v>27.9</v>
      </c>
    </row>
    <row r="56" spans="2:37">
      <c r="B56" s="522"/>
      <c r="C56" s="522"/>
      <c r="D56" s="522" t="s">
        <v>90</v>
      </c>
      <c r="E56" s="430">
        <v>68</v>
      </c>
      <c r="F56" s="430">
        <v>66</v>
      </c>
      <c r="G56" s="430">
        <v>63</v>
      </c>
      <c r="H56" s="430">
        <v>60.099999999999994</v>
      </c>
      <c r="I56" s="431">
        <f t="shared" si="13"/>
        <v>131</v>
      </c>
      <c r="J56" s="431">
        <f t="shared" si="14"/>
        <v>126.1</v>
      </c>
      <c r="M56" s="52"/>
      <c r="N56" s="208" t="s">
        <v>63</v>
      </c>
      <c r="O56" s="208" t="s">
        <v>82</v>
      </c>
      <c r="P56" s="440">
        <v>22</v>
      </c>
      <c r="Q56" s="440">
        <v>21.5</v>
      </c>
      <c r="R56" s="441">
        <f t="shared" ref="R56:R83" si="22">P56/V56</f>
        <v>1</v>
      </c>
      <c r="S56" s="440"/>
      <c r="T56" s="440"/>
      <c r="U56" s="441">
        <f t="shared" si="17"/>
        <v>0</v>
      </c>
      <c r="V56" s="452">
        <f t="shared" si="18"/>
        <v>22</v>
      </c>
      <c r="W56" s="452">
        <f t="shared" si="19"/>
        <v>21.5</v>
      </c>
      <c r="Z56" s="426"/>
      <c r="AA56" s="424"/>
      <c r="AB56" s="424" t="s">
        <v>64</v>
      </c>
      <c r="AC56" s="424" t="s">
        <v>93</v>
      </c>
      <c r="AD56" s="507">
        <v>27</v>
      </c>
      <c r="AE56" s="507">
        <v>25.6</v>
      </c>
      <c r="AF56" s="508">
        <f t="shared" si="9"/>
        <v>0.69230769230769229</v>
      </c>
      <c r="AG56" s="507">
        <v>12</v>
      </c>
      <c r="AH56" s="507">
        <v>11.1</v>
      </c>
      <c r="AI56" s="508">
        <f t="shared" si="10"/>
        <v>0.30769230769230771</v>
      </c>
      <c r="AJ56" s="453">
        <f t="shared" si="11"/>
        <v>39</v>
      </c>
      <c r="AK56" s="453">
        <f t="shared" si="12"/>
        <v>36.700000000000003</v>
      </c>
    </row>
    <row r="57" spans="2:37">
      <c r="B57" s="522"/>
      <c r="C57" s="522"/>
      <c r="D57" s="522" t="s">
        <v>91</v>
      </c>
      <c r="E57" s="430">
        <v>30</v>
      </c>
      <c r="F57" s="430">
        <v>29.2</v>
      </c>
      <c r="G57" s="430">
        <v>25</v>
      </c>
      <c r="H57" s="430">
        <v>22.599999999999998</v>
      </c>
      <c r="I57" s="431">
        <f t="shared" si="13"/>
        <v>55</v>
      </c>
      <c r="J57" s="431">
        <f t="shared" si="14"/>
        <v>51.8</v>
      </c>
      <c r="M57" s="52"/>
      <c r="N57" s="620" t="s">
        <v>98</v>
      </c>
      <c r="O57" s="620"/>
      <c r="P57" s="452">
        <f>P56</f>
        <v>22</v>
      </c>
      <c r="Q57" s="452">
        <f>Q56</f>
        <v>21.5</v>
      </c>
      <c r="R57" s="54">
        <f t="shared" si="22"/>
        <v>1</v>
      </c>
      <c r="S57" s="452">
        <f>S56</f>
        <v>0</v>
      </c>
      <c r="T57" s="452">
        <f>T56</f>
        <v>0</v>
      </c>
      <c r="U57" s="54">
        <f t="shared" si="17"/>
        <v>0</v>
      </c>
      <c r="V57" s="452">
        <f>V56</f>
        <v>22</v>
      </c>
      <c r="W57" s="452">
        <f>W56</f>
        <v>21.5</v>
      </c>
      <c r="Z57" s="426"/>
      <c r="AA57" s="424"/>
      <c r="AB57" s="212"/>
      <c r="AC57" s="212" t="s">
        <v>99</v>
      </c>
      <c r="AD57" s="453">
        <f>AD56</f>
        <v>27</v>
      </c>
      <c r="AE57" s="453">
        <f>AE56</f>
        <v>25.6</v>
      </c>
      <c r="AF57" s="58">
        <f t="shared" si="9"/>
        <v>0.69230769230769229</v>
      </c>
      <c r="AG57" s="453">
        <f>AG56</f>
        <v>12</v>
      </c>
      <c r="AH57" s="453">
        <f>AH56</f>
        <v>11.1</v>
      </c>
      <c r="AI57" s="58">
        <f t="shared" si="10"/>
        <v>0.30769230769230771</v>
      </c>
      <c r="AJ57" s="453">
        <f t="shared" si="11"/>
        <v>39</v>
      </c>
      <c r="AK57" s="453">
        <f t="shared" si="12"/>
        <v>36.700000000000003</v>
      </c>
    </row>
    <row r="58" spans="2:37">
      <c r="B58" s="522"/>
      <c r="C58" s="522" t="s">
        <v>30</v>
      </c>
      <c r="D58" s="522" t="s">
        <v>84</v>
      </c>
      <c r="E58" s="430">
        <v>1</v>
      </c>
      <c r="F58" s="430">
        <v>1</v>
      </c>
      <c r="G58" s="430"/>
      <c r="H58" s="430"/>
      <c r="I58" s="431">
        <f t="shared" si="13"/>
        <v>1</v>
      </c>
      <c r="J58" s="431">
        <f t="shared" si="14"/>
        <v>1</v>
      </c>
      <c r="M58" s="52"/>
      <c r="N58" s="208" t="s">
        <v>64</v>
      </c>
      <c r="O58" s="208" t="s">
        <v>83</v>
      </c>
      <c r="P58" s="440">
        <v>29</v>
      </c>
      <c r="Q58" s="440">
        <v>27.2</v>
      </c>
      <c r="R58" s="441">
        <f t="shared" si="22"/>
        <v>0.87878787878787878</v>
      </c>
      <c r="S58" s="440">
        <v>4</v>
      </c>
      <c r="T58" s="440">
        <v>3.5</v>
      </c>
      <c r="U58" s="441">
        <f t="shared" si="17"/>
        <v>0.12121212121212122</v>
      </c>
      <c r="V58" s="452">
        <f t="shared" si="18"/>
        <v>33</v>
      </c>
      <c r="W58" s="452">
        <f t="shared" si="19"/>
        <v>30.7</v>
      </c>
      <c r="Z58" s="426"/>
      <c r="AA58" s="436" t="s">
        <v>103</v>
      </c>
      <c r="AB58" s="436"/>
      <c r="AC58" s="436"/>
      <c r="AD58" s="509">
        <f>AD57+AD55+AD53</f>
        <v>76</v>
      </c>
      <c r="AE58" s="509">
        <f>AE57+AE55+AE53</f>
        <v>71.7</v>
      </c>
      <c r="AF58" s="510">
        <f t="shared" si="9"/>
        <v>0.68468468468468469</v>
      </c>
      <c r="AG58" s="509">
        <f>AG57+AG55+AG53</f>
        <v>35</v>
      </c>
      <c r="AH58" s="509">
        <f>AH57+AH55+AH53</f>
        <v>33.200000000000003</v>
      </c>
      <c r="AI58" s="510">
        <f t="shared" si="10"/>
        <v>0.31531531531531531</v>
      </c>
      <c r="AJ58" s="509">
        <f t="shared" si="11"/>
        <v>111</v>
      </c>
      <c r="AK58" s="509">
        <f t="shared" si="12"/>
        <v>104.9</v>
      </c>
    </row>
    <row r="59" spans="2:37">
      <c r="B59" s="522"/>
      <c r="C59" s="522"/>
      <c r="D59" s="522" t="s">
        <v>86</v>
      </c>
      <c r="E59" s="430">
        <v>5</v>
      </c>
      <c r="F59" s="430">
        <v>5</v>
      </c>
      <c r="G59" s="430"/>
      <c r="H59" s="430"/>
      <c r="I59" s="431">
        <f t="shared" si="13"/>
        <v>5</v>
      </c>
      <c r="J59" s="431">
        <f t="shared" si="14"/>
        <v>5</v>
      </c>
      <c r="M59" s="52"/>
      <c r="N59" s="620" t="s">
        <v>99</v>
      </c>
      <c r="O59" s="620"/>
      <c r="P59" s="452">
        <f>P58</f>
        <v>29</v>
      </c>
      <c r="Q59" s="452">
        <f>Q58</f>
        <v>27.2</v>
      </c>
      <c r="R59" s="54">
        <f t="shared" si="22"/>
        <v>0.87878787878787878</v>
      </c>
      <c r="S59" s="452">
        <f>S58</f>
        <v>4</v>
      </c>
      <c r="T59" s="452">
        <f>T58</f>
        <v>3.5</v>
      </c>
      <c r="U59" s="54">
        <f t="shared" si="17"/>
        <v>0.12121212121212122</v>
      </c>
      <c r="V59" s="452">
        <f>V58</f>
        <v>33</v>
      </c>
      <c r="W59" s="452">
        <f>W58</f>
        <v>30.7</v>
      </c>
      <c r="Z59" s="427" t="s">
        <v>8</v>
      </c>
      <c r="AA59" s="425"/>
      <c r="AB59" s="211" t="s">
        <v>62</v>
      </c>
      <c r="AC59" s="211" t="s">
        <v>89</v>
      </c>
      <c r="AD59" s="511"/>
      <c r="AE59" s="511"/>
      <c r="AF59" s="512" t="str">
        <f>IFERROR(AD59/AJ59,"")</f>
        <v/>
      </c>
      <c r="AG59" s="511"/>
      <c r="AH59" s="511"/>
      <c r="AI59" s="512" t="str">
        <f>IFERROR(AG59/AJ59,"")</f>
        <v/>
      </c>
      <c r="AJ59" s="453">
        <f t="shared" si="11"/>
        <v>0</v>
      </c>
      <c r="AK59" s="453">
        <f t="shared" si="12"/>
        <v>0</v>
      </c>
    </row>
    <row r="60" spans="2:37">
      <c r="B60" s="522"/>
      <c r="C60" s="522"/>
      <c r="D60" s="522" t="s">
        <v>85</v>
      </c>
      <c r="E60" s="430">
        <v>5</v>
      </c>
      <c r="F60" s="430">
        <v>5</v>
      </c>
      <c r="G60" s="430"/>
      <c r="H60" s="430"/>
      <c r="I60" s="431">
        <f t="shared" si="13"/>
        <v>5</v>
      </c>
      <c r="J60" s="431">
        <f t="shared" si="14"/>
        <v>5</v>
      </c>
      <c r="M60" s="621" t="s">
        <v>74</v>
      </c>
      <c r="N60" s="621"/>
      <c r="O60" s="621"/>
      <c r="P60" s="509">
        <f>P59+P57+P55</f>
        <v>61</v>
      </c>
      <c r="Q60" s="509">
        <f>Q59+Q57+Q55</f>
        <v>58.2</v>
      </c>
      <c r="R60" s="510">
        <f t="shared" si="22"/>
        <v>0.87142857142857144</v>
      </c>
      <c r="S60" s="509">
        <f t="shared" ref="S60:T60" si="23">S59+S57+S55</f>
        <v>9</v>
      </c>
      <c r="T60" s="509">
        <f t="shared" si="23"/>
        <v>8.5</v>
      </c>
      <c r="U60" s="510">
        <f t="shared" si="17"/>
        <v>0.12857142857142856</v>
      </c>
      <c r="V60" s="509">
        <f t="shared" si="18"/>
        <v>70</v>
      </c>
      <c r="W60" s="509">
        <f t="shared" si="19"/>
        <v>66.7</v>
      </c>
      <c r="Z60" s="427"/>
      <c r="AA60" s="425"/>
      <c r="AB60" s="211"/>
      <c r="AC60" s="211" t="s">
        <v>90</v>
      </c>
      <c r="AD60" s="511">
        <v>18</v>
      </c>
      <c r="AE60" s="511">
        <v>17.5</v>
      </c>
      <c r="AF60" s="512">
        <f t="shared" ref="AF60:AF69" si="24">AD60/AJ60</f>
        <v>0.51428571428571423</v>
      </c>
      <c r="AG60" s="511">
        <v>17</v>
      </c>
      <c r="AH60" s="511">
        <v>15.9</v>
      </c>
      <c r="AI60" s="512">
        <f t="shared" ref="AI60:AI65" si="25">AG60/AJ60</f>
        <v>0.48571428571428571</v>
      </c>
      <c r="AJ60" s="453">
        <f t="shared" si="11"/>
        <v>35</v>
      </c>
      <c r="AK60" s="453">
        <f t="shared" si="12"/>
        <v>33.4</v>
      </c>
    </row>
    <row r="61" spans="2:37">
      <c r="B61" s="522"/>
      <c r="C61" s="522" t="s">
        <v>45</v>
      </c>
      <c r="D61" s="522" t="s">
        <v>94</v>
      </c>
      <c r="E61" s="430"/>
      <c r="F61" s="430"/>
      <c r="G61" s="430"/>
      <c r="H61" s="430"/>
      <c r="I61" s="431">
        <f t="shared" si="13"/>
        <v>0</v>
      </c>
      <c r="J61" s="431">
        <f t="shared" si="14"/>
        <v>0</v>
      </c>
      <c r="M61" s="55" t="s">
        <v>75</v>
      </c>
      <c r="N61" s="209" t="s">
        <v>62</v>
      </c>
      <c r="O61" s="209" t="s">
        <v>84</v>
      </c>
      <c r="P61" s="442">
        <v>1</v>
      </c>
      <c r="Q61" s="442">
        <v>1</v>
      </c>
      <c r="R61" s="443">
        <v>0</v>
      </c>
      <c r="S61" s="442"/>
      <c r="T61" s="442"/>
      <c r="U61" s="443">
        <v>0</v>
      </c>
      <c r="V61" s="452">
        <f t="shared" si="18"/>
        <v>1</v>
      </c>
      <c r="W61" s="452">
        <f t="shared" si="19"/>
        <v>1</v>
      </c>
      <c r="Z61" s="427"/>
      <c r="AA61" s="425"/>
      <c r="AB61" s="437"/>
      <c r="AC61" s="211" t="s">
        <v>91</v>
      </c>
      <c r="AD61" s="511">
        <v>13</v>
      </c>
      <c r="AE61" s="511">
        <v>12.1</v>
      </c>
      <c r="AF61" s="512">
        <f t="shared" si="24"/>
        <v>0.8125</v>
      </c>
      <c r="AG61" s="511">
        <v>3</v>
      </c>
      <c r="AH61" s="511">
        <v>2.5</v>
      </c>
      <c r="AI61" s="512">
        <f t="shared" si="25"/>
        <v>0.1875</v>
      </c>
      <c r="AJ61" s="453">
        <f t="shared" si="11"/>
        <v>16</v>
      </c>
      <c r="AK61" s="453">
        <f t="shared" si="12"/>
        <v>14.6</v>
      </c>
    </row>
    <row r="62" spans="2:37">
      <c r="B62" s="522"/>
      <c r="C62" s="522"/>
      <c r="D62" s="522" t="s">
        <v>95</v>
      </c>
      <c r="E62" s="430">
        <v>1</v>
      </c>
      <c r="F62" s="430">
        <v>1</v>
      </c>
      <c r="G62" s="430"/>
      <c r="H62" s="430"/>
      <c r="I62" s="431">
        <f t="shared" si="13"/>
        <v>1</v>
      </c>
      <c r="J62" s="431">
        <f t="shared" si="14"/>
        <v>1</v>
      </c>
      <c r="M62" s="55"/>
      <c r="N62" s="209"/>
      <c r="O62" s="209" t="s">
        <v>86</v>
      </c>
      <c r="P62" s="442">
        <v>4</v>
      </c>
      <c r="Q62" s="442">
        <v>4</v>
      </c>
      <c r="R62" s="443">
        <f t="shared" ref="R62" si="26">P62/V62</f>
        <v>0.8</v>
      </c>
      <c r="S62" s="442">
        <v>1</v>
      </c>
      <c r="T62" s="442">
        <v>1</v>
      </c>
      <c r="U62" s="443">
        <f t="shared" ref="U62" si="27">S62/V62</f>
        <v>0.2</v>
      </c>
      <c r="V62" s="452">
        <f t="shared" ref="V62" si="28">S62+P62</f>
        <v>5</v>
      </c>
      <c r="W62" s="452">
        <f t="shared" ref="W62" si="29">T62+Q62</f>
        <v>5</v>
      </c>
      <c r="Z62" s="427"/>
      <c r="AA62" s="425"/>
      <c r="AB62" s="212" t="s">
        <v>97</v>
      </c>
      <c r="AC62" s="212"/>
      <c r="AD62" s="453">
        <f>AD61+AD60</f>
        <v>31</v>
      </c>
      <c r="AE62" s="453">
        <f>AE61+AE60</f>
        <v>29.6</v>
      </c>
      <c r="AF62" s="58">
        <f t="shared" si="24"/>
        <v>0.60784313725490191</v>
      </c>
      <c r="AG62" s="453">
        <f>AG61+AG60</f>
        <v>20</v>
      </c>
      <c r="AH62" s="453">
        <f>AH61+AH60</f>
        <v>18.399999999999999</v>
      </c>
      <c r="AI62" s="58">
        <f t="shared" si="25"/>
        <v>0.39215686274509803</v>
      </c>
      <c r="AJ62" s="453">
        <f t="shared" si="11"/>
        <v>51</v>
      </c>
      <c r="AK62" s="453">
        <f t="shared" si="12"/>
        <v>48</v>
      </c>
    </row>
    <row r="63" spans="2:37">
      <c r="B63" s="522"/>
      <c r="C63" s="618" t="s">
        <v>97</v>
      </c>
      <c r="D63" s="618"/>
      <c r="E63" s="431">
        <f>SUM(E51:E62)</f>
        <v>140</v>
      </c>
      <c r="F63" s="431">
        <f>SUM(F51:F62)</f>
        <v>136</v>
      </c>
      <c r="G63" s="431">
        <f>SUM(G51:G62)</f>
        <v>94</v>
      </c>
      <c r="H63" s="431">
        <f>SUM(H51:H62)</f>
        <v>88.299999999999983</v>
      </c>
      <c r="I63" s="431">
        <f t="shared" si="13"/>
        <v>234</v>
      </c>
      <c r="J63" s="431">
        <f t="shared" si="14"/>
        <v>224.29999999999998</v>
      </c>
      <c r="M63" s="55"/>
      <c r="N63" s="209"/>
      <c r="O63" s="209" t="s">
        <v>85</v>
      </c>
      <c r="P63" s="442">
        <v>4</v>
      </c>
      <c r="Q63" s="442">
        <v>4</v>
      </c>
      <c r="R63" s="443">
        <f t="shared" si="22"/>
        <v>0.8</v>
      </c>
      <c r="S63" s="442">
        <v>1</v>
      </c>
      <c r="T63" s="442">
        <v>1</v>
      </c>
      <c r="U63" s="443">
        <f t="shared" si="17"/>
        <v>0.2</v>
      </c>
      <c r="V63" s="452">
        <f t="shared" si="18"/>
        <v>5</v>
      </c>
      <c r="W63" s="452">
        <f t="shared" si="19"/>
        <v>5</v>
      </c>
      <c r="Z63" s="427"/>
      <c r="AA63" s="425"/>
      <c r="AB63" s="211" t="s">
        <v>63</v>
      </c>
      <c r="AC63" s="211" t="s">
        <v>92</v>
      </c>
      <c r="AD63" s="511">
        <v>45</v>
      </c>
      <c r="AE63" s="511">
        <v>43.7</v>
      </c>
      <c r="AF63" s="512">
        <f t="shared" si="24"/>
        <v>0.703125</v>
      </c>
      <c r="AG63" s="511">
        <v>19</v>
      </c>
      <c r="AH63" s="511">
        <v>18.7</v>
      </c>
      <c r="AI63" s="512">
        <f t="shared" si="25"/>
        <v>0.296875</v>
      </c>
      <c r="AJ63" s="453">
        <f t="shared" si="11"/>
        <v>64</v>
      </c>
      <c r="AK63" s="453">
        <f t="shared" si="12"/>
        <v>62.400000000000006</v>
      </c>
    </row>
    <row r="64" spans="2:37">
      <c r="B64" s="521" t="s">
        <v>63</v>
      </c>
      <c r="C64" s="521" t="s">
        <v>29</v>
      </c>
      <c r="D64" s="521" t="s">
        <v>82</v>
      </c>
      <c r="E64" s="47">
        <v>22</v>
      </c>
      <c r="F64" s="47">
        <v>21.5</v>
      </c>
      <c r="G64" s="47"/>
      <c r="H64" s="47"/>
      <c r="I64" s="431">
        <f t="shared" si="13"/>
        <v>22</v>
      </c>
      <c r="J64" s="431">
        <f t="shared" si="14"/>
        <v>21.5</v>
      </c>
      <c r="M64" s="55"/>
      <c r="N64" s="620" t="s">
        <v>97</v>
      </c>
      <c r="O64" s="620"/>
      <c r="P64" s="452">
        <f>SUM(P61:P63)</f>
        <v>9</v>
      </c>
      <c r="Q64" s="452">
        <f>SUM(Q61:Q63)</f>
        <v>9</v>
      </c>
      <c r="R64" s="54">
        <f t="shared" si="22"/>
        <v>0.81818181818181823</v>
      </c>
      <c r="S64" s="452">
        <f>SUM(S61:S63)</f>
        <v>2</v>
      </c>
      <c r="T64" s="452">
        <f>SUM(T61:T63)</f>
        <v>2</v>
      </c>
      <c r="U64" s="54">
        <f t="shared" si="17"/>
        <v>0.18181818181818182</v>
      </c>
      <c r="V64" s="452">
        <f>SUM(V61:V63)</f>
        <v>11</v>
      </c>
      <c r="W64" s="452">
        <f>SUM(W61:W63)</f>
        <v>11</v>
      </c>
      <c r="Z64" s="427"/>
      <c r="AA64" s="425"/>
      <c r="AB64" s="212" t="s">
        <v>98</v>
      </c>
      <c r="AC64" s="212"/>
      <c r="AD64" s="453">
        <f>AD63</f>
        <v>45</v>
      </c>
      <c r="AE64" s="453">
        <f>AE63</f>
        <v>43.7</v>
      </c>
      <c r="AF64" s="58">
        <f t="shared" si="24"/>
        <v>0.703125</v>
      </c>
      <c r="AG64" s="453">
        <f>AG63</f>
        <v>19</v>
      </c>
      <c r="AH64" s="453">
        <f>AH63</f>
        <v>18.7</v>
      </c>
      <c r="AI64" s="58">
        <f t="shared" si="25"/>
        <v>0.296875</v>
      </c>
      <c r="AJ64" s="453">
        <f t="shared" si="11"/>
        <v>64</v>
      </c>
      <c r="AK64" s="453">
        <f t="shared" si="12"/>
        <v>62.400000000000006</v>
      </c>
    </row>
    <row r="65" spans="2:37">
      <c r="B65" s="521"/>
      <c r="C65" s="521" t="s">
        <v>31</v>
      </c>
      <c r="D65" s="521" t="s">
        <v>92</v>
      </c>
      <c r="E65" s="47">
        <v>94</v>
      </c>
      <c r="F65" s="47">
        <v>91.1</v>
      </c>
      <c r="G65" s="47">
        <v>93</v>
      </c>
      <c r="H65" s="47">
        <v>90.3</v>
      </c>
      <c r="I65" s="431">
        <f t="shared" si="13"/>
        <v>187</v>
      </c>
      <c r="J65" s="431">
        <f t="shared" si="14"/>
        <v>181.39999999999998</v>
      </c>
      <c r="M65" s="55"/>
      <c r="N65" s="209" t="s">
        <v>63</v>
      </c>
      <c r="O65" s="209" t="s">
        <v>87</v>
      </c>
      <c r="P65" s="442">
        <v>10</v>
      </c>
      <c r="Q65" s="442">
        <v>9.6999999999999993</v>
      </c>
      <c r="R65" s="443">
        <f t="shared" si="22"/>
        <v>0.625</v>
      </c>
      <c r="S65" s="442">
        <v>6</v>
      </c>
      <c r="T65" s="442">
        <v>5.8</v>
      </c>
      <c r="U65" s="443">
        <f t="shared" si="17"/>
        <v>0.375</v>
      </c>
      <c r="V65" s="452">
        <f t="shared" si="18"/>
        <v>16</v>
      </c>
      <c r="W65" s="452">
        <f t="shared" si="19"/>
        <v>15.5</v>
      </c>
      <c r="Z65" s="427"/>
      <c r="AA65" s="425"/>
      <c r="AB65" s="211" t="s">
        <v>64</v>
      </c>
      <c r="AC65" s="211" t="s">
        <v>93</v>
      </c>
      <c r="AD65" s="511">
        <v>64</v>
      </c>
      <c r="AE65" s="511">
        <v>59.4</v>
      </c>
      <c r="AF65" s="512">
        <f t="shared" si="24"/>
        <v>0.79012345679012341</v>
      </c>
      <c r="AG65" s="511">
        <v>17</v>
      </c>
      <c r="AH65" s="511">
        <v>16.600000000000001</v>
      </c>
      <c r="AI65" s="512">
        <f t="shared" si="25"/>
        <v>0.20987654320987653</v>
      </c>
      <c r="AJ65" s="453">
        <f t="shared" si="11"/>
        <v>81</v>
      </c>
      <c r="AK65" s="453">
        <f t="shared" si="12"/>
        <v>76</v>
      </c>
    </row>
    <row r="66" spans="2:37">
      <c r="B66" s="521"/>
      <c r="C66" s="521" t="s">
        <v>30</v>
      </c>
      <c r="D66" s="521" t="s">
        <v>87</v>
      </c>
      <c r="E66" s="47">
        <v>16</v>
      </c>
      <c r="F66" s="47">
        <v>15.5</v>
      </c>
      <c r="G66" s="47"/>
      <c r="H66" s="47"/>
      <c r="I66" s="431">
        <f t="shared" si="13"/>
        <v>16</v>
      </c>
      <c r="J66" s="431">
        <f t="shared" si="14"/>
        <v>15.5</v>
      </c>
      <c r="M66" s="55"/>
      <c r="N66" s="620" t="s">
        <v>98</v>
      </c>
      <c r="O66" s="620"/>
      <c r="P66" s="452">
        <f>P65</f>
        <v>10</v>
      </c>
      <c r="Q66" s="452">
        <f>Q65</f>
        <v>9.6999999999999993</v>
      </c>
      <c r="R66" s="54">
        <f t="shared" ref="R66" si="30">P66/V66</f>
        <v>0.625</v>
      </c>
      <c r="S66" s="452">
        <f>S65</f>
        <v>6</v>
      </c>
      <c r="T66" s="452">
        <f>T65</f>
        <v>5.8</v>
      </c>
      <c r="U66" s="54">
        <f t="shared" ref="U66" si="31">S66/V66</f>
        <v>0.375</v>
      </c>
      <c r="V66" s="452">
        <f>V65</f>
        <v>16</v>
      </c>
      <c r="W66" s="452">
        <f>W65</f>
        <v>15.5</v>
      </c>
      <c r="Z66" s="427"/>
      <c r="AA66" s="425"/>
      <c r="AB66" s="211"/>
      <c r="AC66" s="211" t="s">
        <v>88</v>
      </c>
      <c r="AD66" s="511">
        <v>1</v>
      </c>
      <c r="AE66" s="511">
        <v>1</v>
      </c>
      <c r="AF66" s="512">
        <f t="shared" si="24"/>
        <v>1</v>
      </c>
      <c r="AG66" s="511"/>
      <c r="AH66" s="511"/>
      <c r="AI66" s="512"/>
      <c r="AJ66" s="453">
        <f t="shared" si="11"/>
        <v>1</v>
      </c>
      <c r="AK66" s="453">
        <f t="shared" si="12"/>
        <v>1</v>
      </c>
    </row>
    <row r="67" spans="2:37">
      <c r="B67" s="521"/>
      <c r="C67" s="618" t="s">
        <v>98</v>
      </c>
      <c r="D67" s="618"/>
      <c r="E67" s="431">
        <f>SUM(E64:E66)</f>
        <v>132</v>
      </c>
      <c r="F67" s="431">
        <f>SUM(F64:F66)</f>
        <v>128.1</v>
      </c>
      <c r="G67" s="431">
        <f>SUM(G64:G66)</f>
        <v>93</v>
      </c>
      <c r="H67" s="431">
        <f>SUM(H64:H66)</f>
        <v>90.3</v>
      </c>
      <c r="I67" s="431">
        <f t="shared" si="13"/>
        <v>225</v>
      </c>
      <c r="J67" s="431">
        <f t="shared" si="14"/>
        <v>218.39999999999998</v>
      </c>
      <c r="M67" s="55"/>
      <c r="N67" s="209" t="s">
        <v>64</v>
      </c>
      <c r="O67" s="209" t="s">
        <v>88</v>
      </c>
      <c r="P67" s="442">
        <v>9</v>
      </c>
      <c r="Q67" s="442">
        <v>8.6</v>
      </c>
      <c r="R67" s="443">
        <f t="shared" si="22"/>
        <v>0.5625</v>
      </c>
      <c r="S67" s="442">
        <v>7</v>
      </c>
      <c r="T67" s="442">
        <v>7</v>
      </c>
      <c r="U67" s="443">
        <f t="shared" si="17"/>
        <v>0.4375</v>
      </c>
      <c r="V67" s="452">
        <f t="shared" si="18"/>
        <v>16</v>
      </c>
      <c r="W67" s="452">
        <f t="shared" si="19"/>
        <v>15.6</v>
      </c>
      <c r="Z67" s="427"/>
      <c r="AA67" s="425"/>
      <c r="AB67" s="212" t="s">
        <v>99</v>
      </c>
      <c r="AC67" s="212"/>
      <c r="AD67" s="453">
        <f>AD66+AD65</f>
        <v>65</v>
      </c>
      <c r="AE67" s="453">
        <f>AE66+AE65</f>
        <v>60.4</v>
      </c>
      <c r="AF67" s="58">
        <f t="shared" si="24"/>
        <v>0.79268292682926833</v>
      </c>
      <c r="AG67" s="453">
        <f>AG66+AG65</f>
        <v>17</v>
      </c>
      <c r="AH67" s="453">
        <f>AH66+AH65</f>
        <v>16.600000000000001</v>
      </c>
      <c r="AI67" s="58">
        <f t="shared" ref="AI67:AI69" si="32">AG67/AJ67</f>
        <v>0.2073170731707317</v>
      </c>
      <c r="AJ67" s="453">
        <f t="shared" si="11"/>
        <v>82</v>
      </c>
      <c r="AK67" s="453">
        <f t="shared" si="12"/>
        <v>77</v>
      </c>
    </row>
    <row r="68" spans="2:37">
      <c r="B68" s="523" t="s">
        <v>64</v>
      </c>
      <c r="C68" s="523" t="s">
        <v>29</v>
      </c>
      <c r="D68" s="523" t="s">
        <v>653</v>
      </c>
      <c r="E68" s="433">
        <v>33</v>
      </c>
      <c r="F68" s="433">
        <v>30.7</v>
      </c>
      <c r="G68" s="433"/>
      <c r="H68" s="433"/>
      <c r="I68" s="431">
        <f t="shared" si="13"/>
        <v>33</v>
      </c>
      <c r="J68" s="431">
        <f t="shared" si="14"/>
        <v>30.7</v>
      </c>
      <c r="M68" s="55"/>
      <c r="N68" s="620" t="s">
        <v>99</v>
      </c>
      <c r="O68" s="620"/>
      <c r="P68" s="452">
        <f>P67</f>
        <v>9</v>
      </c>
      <c r="Q68" s="452">
        <f>Q67</f>
        <v>8.6</v>
      </c>
      <c r="R68" s="54">
        <f t="shared" ref="R68" si="33">P68/V68</f>
        <v>0.5625</v>
      </c>
      <c r="S68" s="452">
        <f>S67</f>
        <v>7</v>
      </c>
      <c r="T68" s="452">
        <f>T67</f>
        <v>7</v>
      </c>
      <c r="U68" s="54">
        <f t="shared" ref="U68" si="34">S68/V68</f>
        <v>0.4375</v>
      </c>
      <c r="V68" s="452">
        <f>V67</f>
        <v>16</v>
      </c>
      <c r="W68" s="452">
        <f>W67</f>
        <v>15.6</v>
      </c>
      <c r="Z68" s="427"/>
      <c r="AA68" s="436" t="s">
        <v>104</v>
      </c>
      <c r="AB68" s="436"/>
      <c r="AC68" s="436"/>
      <c r="AD68" s="509">
        <f>AD67+AD64+AD62</f>
        <v>141</v>
      </c>
      <c r="AE68" s="509">
        <f>AE67+AE64+AE62</f>
        <v>133.69999999999999</v>
      </c>
      <c r="AF68" s="510">
        <f t="shared" si="24"/>
        <v>0.71573604060913709</v>
      </c>
      <c r="AG68" s="509">
        <f>AG67+AG64+AG62</f>
        <v>56</v>
      </c>
      <c r="AH68" s="509">
        <f>AH67+AH64+AH62</f>
        <v>53.699999999999996</v>
      </c>
      <c r="AI68" s="510">
        <f t="shared" si="32"/>
        <v>0.28426395939086296</v>
      </c>
      <c r="AJ68" s="509">
        <f>AJ67+AJ64+AJ62</f>
        <v>197</v>
      </c>
      <c r="AK68" s="509">
        <f>AK67+AK64+AK62</f>
        <v>187.4</v>
      </c>
    </row>
    <row r="69" spans="2:37">
      <c r="B69" s="523"/>
      <c r="C69" s="523" t="s">
        <v>31</v>
      </c>
      <c r="D69" s="523" t="s">
        <v>93</v>
      </c>
      <c r="E69" s="433">
        <v>83</v>
      </c>
      <c r="F69" s="433">
        <v>78.099999999999994</v>
      </c>
      <c r="G69" s="433">
        <v>120</v>
      </c>
      <c r="H69" s="433">
        <v>112.69999999999999</v>
      </c>
      <c r="I69" s="431">
        <f t="shared" si="13"/>
        <v>203</v>
      </c>
      <c r="J69" s="431">
        <f t="shared" si="14"/>
        <v>190.79999999999998</v>
      </c>
      <c r="M69" s="220" t="s">
        <v>76</v>
      </c>
      <c r="N69" s="220"/>
      <c r="O69" s="220"/>
      <c r="P69" s="509">
        <f>P68+P66+P64</f>
        <v>28</v>
      </c>
      <c r="Q69" s="509">
        <f>Q68+Q66+Q64</f>
        <v>27.299999999999997</v>
      </c>
      <c r="R69" s="510">
        <f t="shared" si="22"/>
        <v>0.65116279069767447</v>
      </c>
      <c r="S69" s="509">
        <f>S68+S66+S64</f>
        <v>15</v>
      </c>
      <c r="T69" s="509">
        <f>T68+T66+T64</f>
        <v>14.8</v>
      </c>
      <c r="U69" s="510">
        <f t="shared" si="17"/>
        <v>0.34883720930232559</v>
      </c>
      <c r="V69" s="509">
        <f t="shared" si="18"/>
        <v>43</v>
      </c>
      <c r="W69" s="509">
        <f t="shared" si="19"/>
        <v>42.099999999999994</v>
      </c>
      <c r="Z69" s="436" t="s">
        <v>225</v>
      </c>
      <c r="AA69" s="436"/>
      <c r="AB69" s="436"/>
      <c r="AC69" s="436"/>
      <c r="AD69" s="509">
        <f>AD68+AD58</f>
        <v>217</v>
      </c>
      <c r="AE69" s="509">
        <f>AE68+AE58</f>
        <v>205.39999999999998</v>
      </c>
      <c r="AF69" s="510">
        <f t="shared" si="24"/>
        <v>0.70454545454545459</v>
      </c>
      <c r="AG69" s="509">
        <f t="shared" ref="AG69:AK69" si="35">AG68+AG58</f>
        <v>91</v>
      </c>
      <c r="AH69" s="509">
        <f t="shared" si="35"/>
        <v>86.9</v>
      </c>
      <c r="AI69" s="510">
        <f t="shared" si="32"/>
        <v>0.29545454545454547</v>
      </c>
      <c r="AJ69" s="509">
        <f t="shared" si="35"/>
        <v>308</v>
      </c>
      <c r="AK69" s="509">
        <f t="shared" si="35"/>
        <v>292.3</v>
      </c>
    </row>
    <row r="70" spans="2:37">
      <c r="B70" s="524"/>
      <c r="C70" s="524" t="s">
        <v>30</v>
      </c>
      <c r="D70" s="524" t="s">
        <v>88</v>
      </c>
      <c r="E70" s="434">
        <v>16</v>
      </c>
      <c r="F70" s="434">
        <v>15.6</v>
      </c>
      <c r="G70" s="434">
        <v>1</v>
      </c>
      <c r="H70" s="434">
        <v>1</v>
      </c>
      <c r="I70" s="431">
        <f t="shared" si="13"/>
        <v>17</v>
      </c>
      <c r="J70" s="431">
        <f t="shared" si="14"/>
        <v>16.600000000000001</v>
      </c>
      <c r="M70" s="56" t="s">
        <v>31</v>
      </c>
      <c r="N70" s="210" t="s">
        <v>62</v>
      </c>
      <c r="O70" s="210" t="s">
        <v>89</v>
      </c>
      <c r="P70" s="444">
        <v>7</v>
      </c>
      <c r="Q70" s="444">
        <v>6.5</v>
      </c>
      <c r="R70" s="445">
        <f t="shared" si="22"/>
        <v>0.46666666666666667</v>
      </c>
      <c r="S70" s="444">
        <v>8</v>
      </c>
      <c r="T70" s="444">
        <v>7.8</v>
      </c>
      <c r="U70" s="445">
        <f t="shared" si="17"/>
        <v>0.53333333333333333</v>
      </c>
      <c r="V70" s="452">
        <f t="shared" si="18"/>
        <v>15</v>
      </c>
      <c r="W70" s="452">
        <f t="shared" si="19"/>
        <v>14.3</v>
      </c>
    </row>
    <row r="71" spans="2:37">
      <c r="B71" s="523"/>
      <c r="C71" s="618" t="s">
        <v>99</v>
      </c>
      <c r="D71" s="618"/>
      <c r="E71" s="431">
        <f>SUM(E68:E70)</f>
        <v>132</v>
      </c>
      <c r="F71" s="431">
        <f>SUM(F68:F70)</f>
        <v>124.39999999999999</v>
      </c>
      <c r="G71" s="431">
        <f>SUM(G68:G70)</f>
        <v>121</v>
      </c>
      <c r="H71" s="431">
        <f>SUM(H68:H70)</f>
        <v>113.69999999999999</v>
      </c>
      <c r="I71" s="431">
        <f t="shared" si="13"/>
        <v>253</v>
      </c>
      <c r="J71" s="431">
        <f t="shared" si="14"/>
        <v>238.09999999999997</v>
      </c>
      <c r="M71" s="56"/>
      <c r="N71" s="210"/>
      <c r="O71" s="210" t="s">
        <v>90</v>
      </c>
      <c r="P71" s="444">
        <v>34</v>
      </c>
      <c r="Q71" s="444">
        <v>32.9</v>
      </c>
      <c r="R71" s="445">
        <f t="shared" si="22"/>
        <v>0.5</v>
      </c>
      <c r="S71" s="444">
        <v>34</v>
      </c>
      <c r="T71" s="444">
        <v>33.1</v>
      </c>
      <c r="U71" s="445">
        <f>S71/V71</f>
        <v>0.5</v>
      </c>
      <c r="V71" s="452">
        <f t="shared" si="18"/>
        <v>68</v>
      </c>
      <c r="W71" s="452">
        <f t="shared" si="19"/>
        <v>66</v>
      </c>
    </row>
    <row r="72" spans="2:37" ht="15.75" customHeight="1">
      <c r="B72" s="432"/>
      <c r="C72" s="432" t="s">
        <v>10</v>
      </c>
      <c r="D72" s="432"/>
      <c r="E72" s="432">
        <f>E63+E67+E71</f>
        <v>404</v>
      </c>
      <c r="F72" s="432">
        <f>F63+F67+F71</f>
        <v>388.5</v>
      </c>
      <c r="G72" s="432">
        <f>G63+G67+G71</f>
        <v>308</v>
      </c>
      <c r="H72" s="432">
        <f>H63+H67+H71</f>
        <v>292.29999999999995</v>
      </c>
      <c r="I72" s="432">
        <f t="shared" si="13"/>
        <v>712</v>
      </c>
      <c r="J72" s="432">
        <f t="shared" si="14"/>
        <v>680.8</v>
      </c>
      <c r="M72" s="56"/>
      <c r="N72" s="210"/>
      <c r="O72" s="210" t="s">
        <v>91</v>
      </c>
      <c r="P72" s="444">
        <v>16</v>
      </c>
      <c r="Q72" s="444">
        <v>15.2</v>
      </c>
      <c r="R72" s="445">
        <f t="shared" si="22"/>
        <v>0.53333333333333333</v>
      </c>
      <c r="S72" s="444">
        <v>14</v>
      </c>
      <c r="T72" s="444">
        <v>14</v>
      </c>
      <c r="U72" s="445">
        <f t="shared" si="17"/>
        <v>0.46666666666666667</v>
      </c>
      <c r="V72" s="452">
        <f t="shared" si="18"/>
        <v>30</v>
      </c>
      <c r="W72" s="452">
        <f t="shared" si="19"/>
        <v>29.2</v>
      </c>
    </row>
    <row r="73" spans="2:37" ht="15.75" customHeight="1">
      <c r="M73" s="56"/>
      <c r="N73" s="620" t="s">
        <v>97</v>
      </c>
      <c r="O73" s="620"/>
      <c r="P73" s="452">
        <f>SUM(P70:P72)</f>
        <v>57</v>
      </c>
      <c r="Q73" s="452">
        <f>SUM(Q70:Q72)</f>
        <v>54.599999999999994</v>
      </c>
      <c r="R73" s="54">
        <f>P73/V73</f>
        <v>0.50442477876106195</v>
      </c>
      <c r="S73" s="452">
        <f>SUM(S70:S72)</f>
        <v>56</v>
      </c>
      <c r="T73" s="452">
        <f>SUM(T70:T72)</f>
        <v>54.9</v>
      </c>
      <c r="U73" s="54">
        <f>S73/V73</f>
        <v>0.49557522123893805</v>
      </c>
      <c r="V73" s="452">
        <f>SUM(V70:V72)</f>
        <v>113</v>
      </c>
      <c r="W73" s="452">
        <f>SUM(W70:W72)</f>
        <v>109.5</v>
      </c>
    </row>
    <row r="74" spans="2:37" ht="15.75" customHeight="1">
      <c r="B74" s="13" t="s">
        <v>66</v>
      </c>
      <c r="M74" s="56"/>
      <c r="N74" s="210" t="s">
        <v>63</v>
      </c>
      <c r="O74" s="210" t="s">
        <v>92</v>
      </c>
      <c r="P74" s="444">
        <v>73</v>
      </c>
      <c r="Q74" s="444">
        <v>70.599999999999994</v>
      </c>
      <c r="R74" s="445">
        <f t="shared" si="22"/>
        <v>0.77659574468085102</v>
      </c>
      <c r="S74" s="444">
        <v>21</v>
      </c>
      <c r="T74" s="444">
        <v>20.5</v>
      </c>
      <c r="U74" s="445">
        <f t="shared" si="17"/>
        <v>0.22340425531914893</v>
      </c>
      <c r="V74" s="452">
        <f t="shared" si="18"/>
        <v>94</v>
      </c>
      <c r="W74" s="452">
        <f t="shared" si="19"/>
        <v>91.1</v>
      </c>
    </row>
    <row r="75" spans="2:37" ht="15.75" customHeight="1">
      <c r="C75" s="403"/>
      <c r="D75" s="403"/>
      <c r="E75" s="403"/>
      <c r="F75" s="403"/>
      <c r="G75" s="403"/>
      <c r="H75" s="403"/>
      <c r="I75" s="403"/>
      <c r="M75" s="56"/>
      <c r="N75" s="620" t="s">
        <v>98</v>
      </c>
      <c r="O75" s="620"/>
      <c r="P75" s="452">
        <f>P74</f>
        <v>73</v>
      </c>
      <c r="Q75" s="452">
        <f>Q74</f>
        <v>70.599999999999994</v>
      </c>
      <c r="R75" s="54">
        <f t="shared" ref="R75" si="36">P75/V75</f>
        <v>0.77659574468085102</v>
      </c>
      <c r="S75" s="452">
        <f>S74</f>
        <v>21</v>
      </c>
      <c r="T75" s="452">
        <f>T74</f>
        <v>20.5</v>
      </c>
      <c r="U75" s="54">
        <f t="shared" ref="U75" si="37">S75/V75</f>
        <v>0.22340425531914893</v>
      </c>
      <c r="V75" s="452">
        <f>V74</f>
        <v>94</v>
      </c>
      <c r="W75" s="452">
        <f>W74</f>
        <v>91.1</v>
      </c>
    </row>
    <row r="76" spans="2:37" ht="15.75" customHeight="1">
      <c r="B76" s="127"/>
      <c r="C76" s="127"/>
      <c r="D76" s="428" t="s">
        <v>150</v>
      </c>
      <c r="E76" s="428"/>
      <c r="F76" s="428" t="s">
        <v>151</v>
      </c>
      <c r="G76" s="428"/>
      <c r="H76" s="428" t="s">
        <v>9</v>
      </c>
      <c r="I76" s="428"/>
      <c r="M76" s="56"/>
      <c r="N76" s="210" t="s">
        <v>64</v>
      </c>
      <c r="O76" s="210" t="s">
        <v>93</v>
      </c>
      <c r="P76" s="444">
        <v>60</v>
      </c>
      <c r="Q76" s="444">
        <v>55.3</v>
      </c>
      <c r="R76" s="445">
        <f t="shared" si="22"/>
        <v>0.72289156626506024</v>
      </c>
      <c r="S76" s="444">
        <v>23</v>
      </c>
      <c r="T76" s="444">
        <v>22.8</v>
      </c>
      <c r="U76" s="445">
        <f t="shared" si="17"/>
        <v>0.27710843373493976</v>
      </c>
      <c r="V76" s="452">
        <f t="shared" si="18"/>
        <v>83</v>
      </c>
      <c r="W76" s="452">
        <f t="shared" si="19"/>
        <v>78.099999999999994</v>
      </c>
    </row>
    <row r="77" spans="2:37" ht="15.75" customHeight="1">
      <c r="B77" s="127"/>
      <c r="C77" s="127"/>
      <c r="D77" s="429" t="s">
        <v>35</v>
      </c>
      <c r="E77" s="429" t="s">
        <v>49</v>
      </c>
      <c r="F77" s="429" t="s">
        <v>35</v>
      </c>
      <c r="G77" s="429" t="s">
        <v>49</v>
      </c>
      <c r="H77" s="429" t="s">
        <v>35</v>
      </c>
      <c r="I77" s="429" t="s">
        <v>49</v>
      </c>
      <c r="M77" s="206"/>
      <c r="N77" s="620" t="s">
        <v>99</v>
      </c>
      <c r="O77" s="620"/>
      <c r="P77" s="452">
        <f>P76</f>
        <v>60</v>
      </c>
      <c r="Q77" s="452">
        <f>Q76</f>
        <v>55.3</v>
      </c>
      <c r="R77" s="54">
        <f t="shared" ref="R77" si="38">P77/V77</f>
        <v>0.72289156626506024</v>
      </c>
      <c r="S77" s="452">
        <f>S76</f>
        <v>23</v>
      </c>
      <c r="T77" s="452">
        <f>T76</f>
        <v>22.8</v>
      </c>
      <c r="U77" s="54">
        <f t="shared" ref="U77" si="39">S77/V77</f>
        <v>0.27710843373493976</v>
      </c>
      <c r="V77" s="452">
        <f>V76</f>
        <v>83</v>
      </c>
      <c r="W77" s="452">
        <f>W76</f>
        <v>78.099999999999994</v>
      </c>
    </row>
    <row r="78" spans="2:37" ht="15.75" customHeight="1">
      <c r="B78" s="522" t="s">
        <v>62</v>
      </c>
      <c r="C78" s="522" t="s">
        <v>50</v>
      </c>
      <c r="D78" s="430">
        <f>P55+P64+P73+P81</f>
        <v>77</v>
      </c>
      <c r="E78" s="430">
        <f>Q55+Q64+Q73+Q81</f>
        <v>74.099999999999994</v>
      </c>
      <c r="F78" s="430">
        <f>S55+S64+S73+S81</f>
        <v>63</v>
      </c>
      <c r="G78" s="430">
        <f>T55+T64+T73+T81</f>
        <v>61.9</v>
      </c>
      <c r="H78" s="431">
        <f>D78+F78</f>
        <v>140</v>
      </c>
      <c r="I78" s="431">
        <f>E78+G78</f>
        <v>136</v>
      </c>
      <c r="L78" s="59"/>
      <c r="M78" s="221" t="s">
        <v>77</v>
      </c>
      <c r="N78" s="221"/>
      <c r="O78" s="221"/>
      <c r="P78" s="509">
        <f>P77+P75+P73</f>
        <v>190</v>
      </c>
      <c r="Q78" s="509">
        <f>Q77+Q75+Q73</f>
        <v>180.5</v>
      </c>
      <c r="R78" s="510">
        <f t="shared" si="22"/>
        <v>0.65517241379310343</v>
      </c>
      <c r="S78" s="509">
        <f>S77+S75+S73</f>
        <v>100</v>
      </c>
      <c r="T78" s="509">
        <f>T77+T75+T73</f>
        <v>98.199999999999989</v>
      </c>
      <c r="U78" s="510">
        <f t="shared" si="17"/>
        <v>0.34482758620689657</v>
      </c>
      <c r="V78" s="509">
        <f t="shared" si="18"/>
        <v>290</v>
      </c>
      <c r="W78" s="509">
        <f t="shared" si="19"/>
        <v>278.7</v>
      </c>
    </row>
    <row r="79" spans="2:37" ht="15.75" customHeight="1">
      <c r="B79" s="522"/>
      <c r="C79" s="522" t="s">
        <v>324</v>
      </c>
      <c r="D79" s="430">
        <f>AD53+AD62</f>
        <v>61</v>
      </c>
      <c r="E79" s="430">
        <f>AE53+AE62</f>
        <v>57.3</v>
      </c>
      <c r="F79" s="430">
        <f>AG53+AG62</f>
        <v>33</v>
      </c>
      <c r="G79" s="430">
        <f>AH53+AH62</f>
        <v>31</v>
      </c>
      <c r="H79" s="431">
        <f t="shared" ref="H79:H87" si="40">D79+F79</f>
        <v>94</v>
      </c>
      <c r="I79" s="431">
        <f t="shared" ref="I79:I87" si="41">E79+G79</f>
        <v>88.3</v>
      </c>
      <c r="M79" s="57" t="s">
        <v>45</v>
      </c>
      <c r="N79" s="209" t="s">
        <v>62</v>
      </c>
      <c r="O79" s="209" t="s">
        <v>94</v>
      </c>
      <c r="P79" s="442"/>
      <c r="Q79" s="442"/>
      <c r="R79" s="443" t="str">
        <f>IFERROR(P79/V79,"")</f>
        <v/>
      </c>
      <c r="S79" s="442"/>
      <c r="T79" s="442"/>
      <c r="U79" s="443" t="str">
        <f>IFERROR(S79/V79,"")</f>
        <v/>
      </c>
      <c r="V79" s="452">
        <f t="shared" si="18"/>
        <v>0</v>
      </c>
      <c r="W79" s="452">
        <f t="shared" si="19"/>
        <v>0</v>
      </c>
    </row>
    <row r="80" spans="2:37" ht="15.75" customHeight="1">
      <c r="B80" s="522"/>
      <c r="C80" s="561" t="s">
        <v>97</v>
      </c>
      <c r="D80" s="431">
        <f>SUM(D78:D79)</f>
        <v>138</v>
      </c>
      <c r="E80" s="431">
        <f>SUM(E78:E79)</f>
        <v>131.39999999999998</v>
      </c>
      <c r="F80" s="431">
        <f>SUM(F78:F79)</f>
        <v>96</v>
      </c>
      <c r="G80" s="431">
        <f>SUM(G78:G79)</f>
        <v>92.9</v>
      </c>
      <c r="H80" s="431">
        <f t="shared" si="40"/>
        <v>234</v>
      </c>
      <c r="I80" s="431">
        <f t="shared" si="41"/>
        <v>224.29999999999998</v>
      </c>
      <c r="L80" s="60"/>
      <c r="M80" s="57"/>
      <c r="N80" s="209"/>
      <c r="O80" s="209" t="s">
        <v>95</v>
      </c>
      <c r="P80" s="442">
        <v>1</v>
      </c>
      <c r="Q80" s="442">
        <v>1</v>
      </c>
      <c r="R80" s="443">
        <f t="shared" si="22"/>
        <v>1</v>
      </c>
      <c r="S80" s="442"/>
      <c r="T80" s="442"/>
      <c r="U80" s="443">
        <f t="shared" si="17"/>
        <v>0</v>
      </c>
      <c r="V80" s="452">
        <f t="shared" si="18"/>
        <v>1</v>
      </c>
      <c r="W80" s="452">
        <f>T80+Q80</f>
        <v>1</v>
      </c>
    </row>
    <row r="81" spans="2:23" ht="15.75" customHeight="1">
      <c r="B81" s="521" t="s">
        <v>63</v>
      </c>
      <c r="C81" s="521" t="s">
        <v>50</v>
      </c>
      <c r="D81" s="47">
        <f>P57+P66+P75</f>
        <v>105</v>
      </c>
      <c r="E81" s="47">
        <f>Q57+Q66+Q75</f>
        <v>101.8</v>
      </c>
      <c r="F81" s="47">
        <f>S57+S66+S75</f>
        <v>27</v>
      </c>
      <c r="G81" s="47">
        <f>T57+T66+T75</f>
        <v>26.3</v>
      </c>
      <c r="H81" s="431">
        <f t="shared" si="40"/>
        <v>132</v>
      </c>
      <c r="I81" s="431">
        <f t="shared" si="41"/>
        <v>128.1</v>
      </c>
      <c r="L81" s="60"/>
      <c r="M81" s="207"/>
      <c r="N81" s="620" t="s">
        <v>97</v>
      </c>
      <c r="O81" s="620"/>
      <c r="P81" s="453">
        <f>SUM(P79:P80)</f>
        <v>1</v>
      </c>
      <c r="Q81" s="453">
        <f>SUM(Q79:Q80)</f>
        <v>1</v>
      </c>
      <c r="R81" s="58">
        <f t="shared" si="22"/>
        <v>1</v>
      </c>
      <c r="S81" s="453">
        <f>SUM(S79:S80)</f>
        <v>0</v>
      </c>
      <c r="T81" s="453">
        <f>SUM(T79:T80)</f>
        <v>0</v>
      </c>
      <c r="U81" s="58">
        <f t="shared" si="17"/>
        <v>0</v>
      </c>
      <c r="V81" s="452">
        <f>SUM(V79:V80)</f>
        <v>1</v>
      </c>
      <c r="W81" s="452">
        <f>SUM(W79:W80)</f>
        <v>1</v>
      </c>
    </row>
    <row r="82" spans="2:23" ht="15.75" customHeight="1">
      <c r="B82" s="521"/>
      <c r="C82" s="521" t="s">
        <v>324</v>
      </c>
      <c r="D82" s="47">
        <f>AD55+AD64</f>
        <v>64</v>
      </c>
      <c r="E82" s="47">
        <f>AE55+AE64</f>
        <v>62.1</v>
      </c>
      <c r="F82" s="47">
        <f>AG55+AG64</f>
        <v>29</v>
      </c>
      <c r="G82" s="47">
        <f>AH55+AH64</f>
        <v>28.2</v>
      </c>
      <c r="H82" s="431">
        <f t="shared" si="40"/>
        <v>93</v>
      </c>
      <c r="I82" s="431">
        <f t="shared" si="41"/>
        <v>90.3</v>
      </c>
      <c r="L82" s="60"/>
      <c r="M82" s="221" t="s">
        <v>78</v>
      </c>
      <c r="N82" s="221"/>
      <c r="O82" s="221"/>
      <c r="P82" s="509">
        <f>P80+P79</f>
        <v>1</v>
      </c>
      <c r="Q82" s="509">
        <f>Q80+Q79</f>
        <v>1</v>
      </c>
      <c r="R82" s="510">
        <f t="shared" si="22"/>
        <v>1</v>
      </c>
      <c r="S82" s="509">
        <f>S80+S79</f>
        <v>0</v>
      </c>
      <c r="T82" s="509">
        <f>T80+T79</f>
        <v>0</v>
      </c>
      <c r="U82" s="510">
        <f t="shared" si="17"/>
        <v>0</v>
      </c>
      <c r="V82" s="509">
        <f t="shared" si="18"/>
        <v>1</v>
      </c>
      <c r="W82" s="509">
        <f t="shared" si="19"/>
        <v>1</v>
      </c>
    </row>
    <row r="83" spans="2:23">
      <c r="B83" s="521"/>
      <c r="C83" s="561" t="s">
        <v>98</v>
      </c>
      <c r="D83" s="431">
        <f>SUM(D81:D82)</f>
        <v>169</v>
      </c>
      <c r="E83" s="431">
        <f>SUM(E81:E82)</f>
        <v>163.9</v>
      </c>
      <c r="F83" s="431">
        <f>SUM(F81:F82)</f>
        <v>56</v>
      </c>
      <c r="G83" s="431">
        <f>SUM(G81:G82)</f>
        <v>54.5</v>
      </c>
      <c r="H83" s="431">
        <f t="shared" si="40"/>
        <v>225</v>
      </c>
      <c r="I83" s="431">
        <f t="shared" si="41"/>
        <v>218.4</v>
      </c>
      <c r="L83" s="60"/>
      <c r="M83" s="219" t="s">
        <v>10</v>
      </c>
      <c r="N83" s="219"/>
      <c r="O83" s="219"/>
      <c r="P83" s="513">
        <f>SUM(P82,P78,P69,P60)</f>
        <v>280</v>
      </c>
      <c r="Q83" s="513">
        <f>SUM(Q82,Q78,Q69,Q60)</f>
        <v>267</v>
      </c>
      <c r="R83" s="514">
        <f t="shared" si="22"/>
        <v>0.69306930693069302</v>
      </c>
      <c r="S83" s="513">
        <f>SUM(S82,S78,S69,S60)</f>
        <v>124</v>
      </c>
      <c r="T83" s="513">
        <f>SUM(T82,T78,T69,T60)</f>
        <v>121.49999999999999</v>
      </c>
      <c r="U83" s="514">
        <f t="shared" si="17"/>
        <v>0.30693069306930693</v>
      </c>
      <c r="V83" s="513">
        <f>S83+P83</f>
        <v>404</v>
      </c>
      <c r="W83" s="513">
        <f t="shared" ref="W83" si="42">T83+Q83</f>
        <v>388.5</v>
      </c>
    </row>
    <row r="84" spans="2:23">
      <c r="B84" s="523" t="s">
        <v>64</v>
      </c>
      <c r="C84" s="523" t="s">
        <v>50</v>
      </c>
      <c r="D84" s="433">
        <f>P59+P68+P77</f>
        <v>98</v>
      </c>
      <c r="E84" s="433">
        <f>Q59+Q68+Q77</f>
        <v>91.1</v>
      </c>
      <c r="F84" s="433">
        <f>S59+S68+S77</f>
        <v>34</v>
      </c>
      <c r="G84" s="433">
        <f>T59+T68+T77</f>
        <v>33.299999999999997</v>
      </c>
      <c r="H84" s="431">
        <f t="shared" si="40"/>
        <v>132</v>
      </c>
      <c r="I84" s="431">
        <f t="shared" si="41"/>
        <v>124.39999999999999</v>
      </c>
      <c r="L84" s="60"/>
    </row>
    <row r="85" spans="2:23">
      <c r="B85" s="523"/>
      <c r="C85" s="523" t="s">
        <v>324</v>
      </c>
      <c r="D85" s="433">
        <f>AD57+AD67</f>
        <v>92</v>
      </c>
      <c r="E85" s="433">
        <f>AE57+AE67</f>
        <v>86</v>
      </c>
      <c r="F85" s="433">
        <f>AG57+AG67</f>
        <v>29</v>
      </c>
      <c r="G85" s="433">
        <f>AH57+AH67</f>
        <v>27.700000000000003</v>
      </c>
      <c r="H85" s="431">
        <f t="shared" si="40"/>
        <v>121</v>
      </c>
      <c r="I85" s="431">
        <f t="shared" si="41"/>
        <v>113.7</v>
      </c>
    </row>
    <row r="86" spans="2:23">
      <c r="B86" s="523"/>
      <c r="C86" s="561" t="s">
        <v>99</v>
      </c>
      <c r="D86" s="431">
        <f>SUM(D84:D85)</f>
        <v>190</v>
      </c>
      <c r="E86" s="431">
        <f>SUM(E84:E85)</f>
        <v>177.1</v>
      </c>
      <c r="F86" s="431">
        <f>SUM(F84:F85)</f>
        <v>63</v>
      </c>
      <c r="G86" s="431">
        <f>SUM(G84:G85)</f>
        <v>61</v>
      </c>
      <c r="H86" s="431">
        <f t="shared" si="40"/>
        <v>253</v>
      </c>
      <c r="I86" s="431">
        <f t="shared" si="41"/>
        <v>238.1</v>
      </c>
    </row>
    <row r="87" spans="2:23">
      <c r="B87" s="432"/>
      <c r="C87" s="432" t="s">
        <v>10</v>
      </c>
      <c r="D87" s="432">
        <f>D80+D83+D86</f>
        <v>497</v>
      </c>
      <c r="E87" s="432">
        <f>E80+E83+E86</f>
        <v>472.4</v>
      </c>
      <c r="F87" s="432">
        <f>F80+F83+F86</f>
        <v>215</v>
      </c>
      <c r="G87" s="432">
        <f>G80+G83+G86</f>
        <v>208.4</v>
      </c>
      <c r="H87" s="432">
        <f t="shared" si="40"/>
        <v>712</v>
      </c>
      <c r="I87" s="432">
        <f t="shared" si="41"/>
        <v>680.8</v>
      </c>
    </row>
    <row r="88" spans="2:23" ht="6.75" customHeight="1"/>
  </sheetData>
  <mergeCells count="16">
    <mergeCell ref="N81:O81"/>
    <mergeCell ref="N64:O64"/>
    <mergeCell ref="N66:O66"/>
    <mergeCell ref="AJ48:AK48"/>
    <mergeCell ref="N73:O73"/>
    <mergeCell ref="N75:O75"/>
    <mergeCell ref="N77:O77"/>
    <mergeCell ref="C71:D71"/>
    <mergeCell ref="C63:D63"/>
    <mergeCell ref="C67:D67"/>
    <mergeCell ref="V49:W49"/>
    <mergeCell ref="N55:O55"/>
    <mergeCell ref="N57:O57"/>
    <mergeCell ref="N59:O59"/>
    <mergeCell ref="M60:O60"/>
    <mergeCell ref="N68:O68"/>
  </mergeCells>
  <pageMargins left="0.23622047244094491" right="0.23622047244094491" top="0.98425196850393704" bottom="0.74803149606299213" header="0.31496062992125984" footer="0.31496062992125984"/>
  <pageSetup paperSize="9" scale="75" orientation="landscape" r:id="rId1"/>
  <headerFooter>
    <oddHeader>&amp;C&amp;"Comic Sans MS,Gras"&amp;10Chapitre I - Emploi - Effectif - Démographie - Parité femmes/hommes
2. Effectifs
2.2 Effectif BIATSS au 31/12/23</oddHeader>
    <oddFooter>&amp;C&amp;"-,Gras"&amp;12Base de Données Sociales 2023&amp;R&amp;P</oddFooter>
  </headerFooter>
  <rowBreaks count="1" manualBreakCount="1">
    <brk id="45" max="16383" man="1"/>
  </rowBreaks>
  <colBreaks count="4" manualBreakCount="4">
    <brk id="11" max="87" man="1"/>
    <brk id="24" max="87" man="1"/>
    <brk id="38" max="87" man="1"/>
    <brk id="52" max="8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5A32-47C5-47A8-B681-2372CD1B5EC0}">
  <sheetPr codeName="Feuil4">
    <tabColor rgb="FF92D050"/>
  </sheetPr>
  <dimension ref="A1:V57"/>
  <sheetViews>
    <sheetView showGridLines="0" view="pageLayout" topLeftCell="G1" zoomScaleNormal="100" workbookViewId="0">
      <selection activeCell="O23" sqref="O23"/>
    </sheetView>
  </sheetViews>
  <sheetFormatPr baseColWidth="10" defaultRowHeight="15"/>
  <cols>
    <col min="1" max="1" width="13.5703125" customWidth="1"/>
    <col min="13" max="13" width="14.42578125" customWidth="1"/>
    <col min="22" max="22" width="13.28515625" customWidth="1"/>
  </cols>
  <sheetData>
    <row r="1" spans="1:22" s="403" customFormat="1" ht="15.75">
      <c r="A1" s="360" t="s">
        <v>105</v>
      </c>
      <c r="M1" s="360" t="s">
        <v>135</v>
      </c>
    </row>
    <row r="2" spans="1:22" ht="6" customHeight="1">
      <c r="A2" s="200"/>
      <c r="M2" s="200"/>
    </row>
    <row r="3" spans="1:22">
      <c r="C3" s="68" t="s">
        <v>24</v>
      </c>
      <c r="D3" s="68"/>
      <c r="E3" s="68"/>
      <c r="F3" s="68" t="s">
        <v>25</v>
      </c>
      <c r="G3" s="68"/>
      <c r="H3" s="68"/>
      <c r="I3" s="67" t="s">
        <v>10</v>
      </c>
      <c r="J3" s="67"/>
      <c r="O3" s="68" t="s">
        <v>24</v>
      </c>
      <c r="P3" s="68"/>
      <c r="Q3" s="68"/>
      <c r="R3" s="68" t="s">
        <v>25</v>
      </c>
      <c r="S3" s="68"/>
      <c r="T3" s="68"/>
      <c r="U3" s="67" t="s">
        <v>10</v>
      </c>
      <c r="V3" s="67"/>
    </row>
    <row r="4" spans="1:22">
      <c r="C4" s="69" t="s">
        <v>35</v>
      </c>
      <c r="D4" s="69" t="s">
        <v>49</v>
      </c>
      <c r="E4" s="69" t="s">
        <v>56</v>
      </c>
      <c r="F4" s="69" t="s">
        <v>35</v>
      </c>
      <c r="G4" s="69" t="s">
        <v>49</v>
      </c>
      <c r="H4" s="69" t="s">
        <v>56</v>
      </c>
      <c r="I4" s="70" t="s">
        <v>35</v>
      </c>
      <c r="J4" s="70" t="s">
        <v>49</v>
      </c>
      <c r="O4" s="69" t="s">
        <v>35</v>
      </c>
      <c r="P4" s="69" t="s">
        <v>49</v>
      </c>
      <c r="Q4" s="69" t="s">
        <v>56</v>
      </c>
      <c r="R4" s="69" t="s">
        <v>35</v>
      </c>
      <c r="S4" s="69" t="s">
        <v>49</v>
      </c>
      <c r="T4" s="69" t="s">
        <v>56</v>
      </c>
      <c r="U4" s="70" t="s">
        <v>35</v>
      </c>
      <c r="V4" s="70" t="s">
        <v>49</v>
      </c>
    </row>
    <row r="5" spans="1:22">
      <c r="A5" s="623" t="s">
        <v>655</v>
      </c>
      <c r="B5" s="529" t="s">
        <v>107</v>
      </c>
      <c r="C5" s="464">
        <v>32</v>
      </c>
      <c r="D5" s="464">
        <v>31.8</v>
      </c>
      <c r="E5" s="516">
        <f>C5/I5</f>
        <v>0.2711864406779661</v>
      </c>
      <c r="F5" s="464">
        <v>86</v>
      </c>
      <c r="G5" s="464">
        <v>85.5</v>
      </c>
      <c r="H5" s="517">
        <f>F5/I5</f>
        <v>0.72881355932203384</v>
      </c>
      <c r="I5" s="70">
        <f>F5+C5</f>
        <v>118</v>
      </c>
      <c r="J5" s="70">
        <f>G5+D5</f>
        <v>117.3</v>
      </c>
      <c r="M5" s="623" t="s">
        <v>655</v>
      </c>
      <c r="N5" s="76" t="s">
        <v>136</v>
      </c>
      <c r="O5" s="77"/>
      <c r="P5" s="77"/>
      <c r="Q5" s="80">
        <f t="shared" ref="Q5:Q9" si="0">O5/U5</f>
        <v>0</v>
      </c>
      <c r="R5" s="77">
        <v>1</v>
      </c>
      <c r="S5" s="77">
        <v>0.5</v>
      </c>
      <c r="T5" s="80">
        <f>R5/U5</f>
        <v>1</v>
      </c>
      <c r="U5" s="70">
        <f>R5+O5</f>
        <v>1</v>
      </c>
      <c r="V5" s="70">
        <f>S5+P5</f>
        <v>0.5</v>
      </c>
    </row>
    <row r="6" spans="1:22">
      <c r="A6" s="623"/>
      <c r="B6" s="529" t="s">
        <v>108</v>
      </c>
      <c r="C6" s="464">
        <v>130</v>
      </c>
      <c r="D6" s="464">
        <v>128.19999999999999</v>
      </c>
      <c r="E6" s="516">
        <f t="shared" ref="E6:E18" si="1">C6/I6</f>
        <v>0.47794117647058826</v>
      </c>
      <c r="F6" s="464">
        <v>142</v>
      </c>
      <c r="G6" s="464">
        <v>141.30000000000001</v>
      </c>
      <c r="H6" s="517">
        <f t="shared" ref="H6:H18" si="2">F6/I6</f>
        <v>0.5220588235294118</v>
      </c>
      <c r="I6" s="70">
        <f>F6+C6</f>
        <v>272</v>
      </c>
      <c r="J6" s="70">
        <f>G6+D6</f>
        <v>269.5</v>
      </c>
      <c r="M6" s="623"/>
      <c r="N6" s="76" t="s">
        <v>137</v>
      </c>
      <c r="O6" s="77">
        <v>4</v>
      </c>
      <c r="P6" s="77">
        <v>2</v>
      </c>
      <c r="Q6" s="80">
        <f t="shared" si="0"/>
        <v>0.2857142857142857</v>
      </c>
      <c r="R6" s="77">
        <v>10</v>
      </c>
      <c r="S6" s="77">
        <v>5</v>
      </c>
      <c r="T6" s="80">
        <f t="shared" ref="T6:T12" si="3">R6/U6</f>
        <v>0.7142857142857143</v>
      </c>
      <c r="U6" s="70">
        <f t="shared" ref="U6:U11" si="4">R6+O6</f>
        <v>14</v>
      </c>
      <c r="V6" s="70">
        <f t="shared" ref="V6:V11" si="5">S6+P6</f>
        <v>7</v>
      </c>
    </row>
    <row r="7" spans="1:22">
      <c r="A7" s="625" t="s">
        <v>109</v>
      </c>
      <c r="B7" s="625"/>
      <c r="C7" s="71">
        <f>C6+C5</f>
        <v>162</v>
      </c>
      <c r="D7" s="71">
        <f>D6+D5</f>
        <v>160</v>
      </c>
      <c r="E7" s="72">
        <f t="shared" si="1"/>
        <v>0.41538461538461541</v>
      </c>
      <c r="F7" s="71">
        <f>F6+F5</f>
        <v>228</v>
      </c>
      <c r="G7" s="71">
        <f>G6+G5</f>
        <v>226.8</v>
      </c>
      <c r="H7" s="73">
        <f t="shared" si="2"/>
        <v>0.58461538461538465</v>
      </c>
      <c r="I7" s="70">
        <f t="shared" ref="I7:I18" si="6">F7+C7</f>
        <v>390</v>
      </c>
      <c r="J7" s="70">
        <f t="shared" ref="J7:J18" si="7">G7+D7</f>
        <v>386.8</v>
      </c>
      <c r="M7" s="623"/>
      <c r="N7" s="76" t="s">
        <v>43</v>
      </c>
      <c r="O7" s="77">
        <v>12</v>
      </c>
      <c r="P7" s="77">
        <v>12</v>
      </c>
      <c r="Q7" s="80">
        <f t="shared" si="0"/>
        <v>0.35294117647058826</v>
      </c>
      <c r="R7" s="77">
        <v>22</v>
      </c>
      <c r="S7" s="77">
        <v>22</v>
      </c>
      <c r="T7" s="80">
        <f t="shared" si="3"/>
        <v>0.6470588235294118</v>
      </c>
      <c r="U7" s="70">
        <f t="shared" si="4"/>
        <v>34</v>
      </c>
      <c r="V7" s="70">
        <f t="shared" si="5"/>
        <v>34</v>
      </c>
    </row>
    <row r="8" spans="1:22">
      <c r="A8" s="623" t="s">
        <v>656</v>
      </c>
      <c r="B8" s="529" t="s">
        <v>111</v>
      </c>
      <c r="C8" s="464">
        <v>13</v>
      </c>
      <c r="D8" s="464">
        <v>12.5</v>
      </c>
      <c r="E8" s="516">
        <f t="shared" si="1"/>
        <v>0.19402985074626866</v>
      </c>
      <c r="F8" s="464">
        <v>54</v>
      </c>
      <c r="G8" s="464">
        <v>54</v>
      </c>
      <c r="H8" s="517">
        <f t="shared" si="2"/>
        <v>0.80597014925373134</v>
      </c>
      <c r="I8" s="70">
        <f t="shared" si="6"/>
        <v>67</v>
      </c>
      <c r="J8" s="70">
        <f t="shared" si="7"/>
        <v>66.5</v>
      </c>
      <c r="M8" s="623"/>
      <c r="N8" s="76" t="s">
        <v>143</v>
      </c>
      <c r="O8" s="77">
        <v>2</v>
      </c>
      <c r="P8" s="77">
        <v>2</v>
      </c>
      <c r="Q8" s="80">
        <f t="shared" si="0"/>
        <v>0.4</v>
      </c>
      <c r="R8" s="77">
        <v>3</v>
      </c>
      <c r="S8" s="77">
        <v>3</v>
      </c>
      <c r="T8" s="80">
        <f t="shared" si="3"/>
        <v>0.6</v>
      </c>
      <c r="U8" s="70">
        <f t="shared" si="4"/>
        <v>5</v>
      </c>
      <c r="V8" s="70">
        <f t="shared" si="5"/>
        <v>5</v>
      </c>
    </row>
    <row r="9" spans="1:22">
      <c r="A9" s="623"/>
      <c r="B9" s="529" t="s">
        <v>112</v>
      </c>
      <c r="C9" s="464"/>
      <c r="D9" s="464"/>
      <c r="E9" s="516">
        <f t="shared" si="1"/>
        <v>0</v>
      </c>
      <c r="F9" s="464">
        <v>1</v>
      </c>
      <c r="G9" s="464">
        <v>1</v>
      </c>
      <c r="H9" s="517">
        <f t="shared" si="2"/>
        <v>1</v>
      </c>
      <c r="I9" s="70">
        <f t="shared" si="6"/>
        <v>1</v>
      </c>
      <c r="J9" s="70">
        <f t="shared" si="7"/>
        <v>1</v>
      </c>
      <c r="M9" s="623"/>
      <c r="N9" s="76" t="s">
        <v>144</v>
      </c>
      <c r="O9" s="77">
        <v>1</v>
      </c>
      <c r="P9" s="77">
        <v>1</v>
      </c>
      <c r="Q9" s="80">
        <f t="shared" si="0"/>
        <v>0.25</v>
      </c>
      <c r="R9" s="77">
        <v>3</v>
      </c>
      <c r="S9" s="77">
        <v>3</v>
      </c>
      <c r="T9" s="80">
        <f t="shared" si="3"/>
        <v>0.75</v>
      </c>
      <c r="U9" s="70">
        <f t="shared" si="4"/>
        <v>4</v>
      </c>
      <c r="V9" s="70">
        <f t="shared" si="5"/>
        <v>4</v>
      </c>
    </row>
    <row r="10" spans="1:22">
      <c r="A10" s="623"/>
      <c r="B10" s="529" t="s">
        <v>113</v>
      </c>
      <c r="C10" s="464">
        <v>7</v>
      </c>
      <c r="D10" s="464">
        <v>7</v>
      </c>
      <c r="E10" s="516">
        <f t="shared" si="1"/>
        <v>0.4375</v>
      </c>
      <c r="F10" s="464">
        <v>9</v>
      </c>
      <c r="G10" s="464">
        <v>9</v>
      </c>
      <c r="H10" s="517">
        <f t="shared" si="2"/>
        <v>0.5625</v>
      </c>
      <c r="I10" s="70">
        <f t="shared" si="6"/>
        <v>16</v>
      </c>
      <c r="J10" s="70">
        <f t="shared" si="7"/>
        <v>16</v>
      </c>
      <c r="M10" s="625" t="s">
        <v>109</v>
      </c>
      <c r="N10" s="625"/>
      <c r="O10" s="71">
        <f>SUM(O5:O9)</f>
        <v>19</v>
      </c>
      <c r="P10" s="71">
        <f>SUM(P5:P9)</f>
        <v>17</v>
      </c>
      <c r="Q10" s="72">
        <f t="shared" ref="Q10:Q12" si="8">O10/U10</f>
        <v>0.32758620689655171</v>
      </c>
      <c r="R10" s="71">
        <f>SUM(R5:R9)</f>
        <v>39</v>
      </c>
      <c r="S10" s="71">
        <f>SUM(S5:S9)</f>
        <v>33.5</v>
      </c>
      <c r="T10" s="73">
        <f t="shared" si="3"/>
        <v>0.67241379310344829</v>
      </c>
      <c r="U10" s="70">
        <f t="shared" si="4"/>
        <v>58</v>
      </c>
      <c r="V10" s="70">
        <f t="shared" si="5"/>
        <v>50.5</v>
      </c>
    </row>
    <row r="11" spans="1:22">
      <c r="A11" s="623"/>
      <c r="B11" s="529" t="s">
        <v>114</v>
      </c>
      <c r="C11" s="464">
        <v>1</v>
      </c>
      <c r="D11" s="464">
        <v>1</v>
      </c>
      <c r="E11" s="516">
        <f t="shared" si="1"/>
        <v>0.33333333333333331</v>
      </c>
      <c r="F11" s="464">
        <v>2</v>
      </c>
      <c r="G11" s="464">
        <v>2</v>
      </c>
      <c r="H11" s="517">
        <f t="shared" si="2"/>
        <v>0.66666666666666663</v>
      </c>
      <c r="I11" s="70">
        <f t="shared" si="6"/>
        <v>3</v>
      </c>
      <c r="J11" s="70">
        <f t="shared" si="7"/>
        <v>3</v>
      </c>
      <c r="M11" s="623" t="s">
        <v>656</v>
      </c>
      <c r="N11" s="76" t="s">
        <v>139</v>
      </c>
      <c r="O11" s="77">
        <v>1</v>
      </c>
      <c r="P11" s="77">
        <v>0.5</v>
      </c>
      <c r="Q11" s="80">
        <f t="shared" si="8"/>
        <v>0.14285714285714285</v>
      </c>
      <c r="R11" s="77">
        <v>6</v>
      </c>
      <c r="S11" s="77">
        <v>3</v>
      </c>
      <c r="T11" s="81">
        <f t="shared" si="3"/>
        <v>0.8571428571428571</v>
      </c>
      <c r="U11" s="70">
        <f t="shared" si="4"/>
        <v>7</v>
      </c>
      <c r="V11" s="70">
        <f t="shared" si="5"/>
        <v>3.5</v>
      </c>
    </row>
    <row r="12" spans="1:22">
      <c r="A12" s="625" t="s">
        <v>115</v>
      </c>
      <c r="B12" s="625"/>
      <c r="C12" s="71">
        <f>SUM(C8:C11)</f>
        <v>21</v>
      </c>
      <c r="D12" s="71">
        <f>SUM(D8:D11)</f>
        <v>20.5</v>
      </c>
      <c r="E12" s="72">
        <f t="shared" si="1"/>
        <v>0.2413793103448276</v>
      </c>
      <c r="F12" s="71">
        <f>SUM(F8:F11)</f>
        <v>66</v>
      </c>
      <c r="G12" s="71">
        <f>SUM(G8:G11)</f>
        <v>66</v>
      </c>
      <c r="H12" s="73">
        <f t="shared" si="2"/>
        <v>0.75862068965517238</v>
      </c>
      <c r="I12" s="70">
        <f t="shared" si="6"/>
        <v>87</v>
      </c>
      <c r="J12" s="70">
        <f t="shared" si="7"/>
        <v>86.5</v>
      </c>
      <c r="M12" s="623"/>
      <c r="N12" s="76" t="s">
        <v>145</v>
      </c>
      <c r="O12" s="77">
        <v>4</v>
      </c>
      <c r="P12" s="77">
        <v>4</v>
      </c>
      <c r="Q12" s="80">
        <f t="shared" si="8"/>
        <v>0.5714285714285714</v>
      </c>
      <c r="R12" s="77">
        <v>3</v>
      </c>
      <c r="S12" s="77">
        <v>3</v>
      </c>
      <c r="T12" s="81">
        <f t="shared" si="3"/>
        <v>0.42857142857142855</v>
      </c>
      <c r="U12" s="70">
        <f t="shared" ref="U12:U23" si="9">R12+O12</f>
        <v>7</v>
      </c>
      <c r="V12" s="70">
        <f t="shared" ref="V12:V23" si="10">S12+P12</f>
        <v>7</v>
      </c>
    </row>
    <row r="13" spans="1:22">
      <c r="A13" s="626" t="s">
        <v>116</v>
      </c>
      <c r="B13" s="529" t="s">
        <v>117</v>
      </c>
      <c r="C13" s="464">
        <v>30</v>
      </c>
      <c r="D13" s="464">
        <v>29.6</v>
      </c>
      <c r="E13" s="516">
        <f t="shared" si="1"/>
        <v>0.38461538461538464</v>
      </c>
      <c r="F13" s="464">
        <v>48</v>
      </c>
      <c r="G13" s="464">
        <v>47.7</v>
      </c>
      <c r="H13" s="517">
        <f t="shared" si="2"/>
        <v>0.61538461538461542</v>
      </c>
      <c r="I13" s="70">
        <f t="shared" si="6"/>
        <v>78</v>
      </c>
      <c r="J13" s="70">
        <f t="shared" si="7"/>
        <v>77.300000000000011</v>
      </c>
      <c r="M13" s="623"/>
      <c r="N13" s="76" t="s">
        <v>138</v>
      </c>
      <c r="O13" s="77">
        <v>18</v>
      </c>
      <c r="P13" s="77">
        <v>18</v>
      </c>
      <c r="Q13" s="80">
        <f t="shared" ref="Q13:Q23" si="11">O13/U13</f>
        <v>0.42857142857142855</v>
      </c>
      <c r="R13" s="77">
        <v>24</v>
      </c>
      <c r="S13" s="77">
        <v>24</v>
      </c>
      <c r="T13" s="81">
        <f t="shared" ref="T13:T23" si="12">R13/U13</f>
        <v>0.5714285714285714</v>
      </c>
      <c r="U13" s="70">
        <f t="shared" si="9"/>
        <v>42</v>
      </c>
      <c r="V13" s="70">
        <f t="shared" si="10"/>
        <v>42</v>
      </c>
    </row>
    <row r="14" spans="1:22">
      <c r="A14" s="626"/>
      <c r="B14" s="529" t="s">
        <v>118</v>
      </c>
      <c r="C14" s="464">
        <v>34</v>
      </c>
      <c r="D14" s="464">
        <v>34</v>
      </c>
      <c r="E14" s="516">
        <f t="shared" si="1"/>
        <v>0.47222222222222221</v>
      </c>
      <c r="F14" s="464">
        <v>38</v>
      </c>
      <c r="G14" s="464">
        <v>37.799999999999997</v>
      </c>
      <c r="H14" s="517">
        <f t="shared" si="2"/>
        <v>0.52777777777777779</v>
      </c>
      <c r="I14" s="70">
        <f t="shared" si="6"/>
        <v>72</v>
      </c>
      <c r="J14" s="70">
        <f t="shared" si="7"/>
        <v>71.8</v>
      </c>
      <c r="M14" s="623"/>
      <c r="N14" s="76" t="s">
        <v>140</v>
      </c>
      <c r="O14" s="77">
        <v>1</v>
      </c>
      <c r="P14" s="77">
        <v>1</v>
      </c>
      <c r="Q14" s="80">
        <f t="shared" si="11"/>
        <v>0.5</v>
      </c>
      <c r="R14" s="77">
        <v>1</v>
      </c>
      <c r="S14" s="77">
        <v>1</v>
      </c>
      <c r="T14" s="81">
        <f t="shared" si="12"/>
        <v>0.5</v>
      </c>
      <c r="U14" s="70">
        <f t="shared" si="9"/>
        <v>2</v>
      </c>
      <c r="V14" s="70">
        <f t="shared" si="10"/>
        <v>2</v>
      </c>
    </row>
    <row r="15" spans="1:22">
      <c r="A15" s="626"/>
      <c r="B15" s="529" t="s">
        <v>119</v>
      </c>
      <c r="C15" s="464">
        <v>5</v>
      </c>
      <c r="D15" s="464">
        <v>4.8</v>
      </c>
      <c r="E15" s="516">
        <f t="shared" si="1"/>
        <v>0.55555555555555558</v>
      </c>
      <c r="F15" s="464">
        <v>4</v>
      </c>
      <c r="G15" s="464">
        <v>4</v>
      </c>
      <c r="H15" s="517">
        <f t="shared" si="2"/>
        <v>0.44444444444444442</v>
      </c>
      <c r="I15" s="70">
        <f t="shared" si="6"/>
        <v>9</v>
      </c>
      <c r="J15" s="70">
        <f t="shared" si="7"/>
        <v>8.8000000000000007</v>
      </c>
      <c r="M15" s="625" t="s">
        <v>115</v>
      </c>
      <c r="N15" s="625"/>
      <c r="O15" s="71">
        <f>SUM(O11:O14)</f>
        <v>24</v>
      </c>
      <c r="P15" s="71">
        <f>SUM(P11:P14)</f>
        <v>23.5</v>
      </c>
      <c r="Q15" s="72">
        <f t="shared" si="11"/>
        <v>0.41379310344827586</v>
      </c>
      <c r="R15" s="71">
        <f>SUM(R11:R14)</f>
        <v>34</v>
      </c>
      <c r="S15" s="71">
        <f>SUM(S11:S14)</f>
        <v>31</v>
      </c>
      <c r="T15" s="73">
        <f t="shared" si="12"/>
        <v>0.58620689655172409</v>
      </c>
      <c r="U15" s="70">
        <f t="shared" si="9"/>
        <v>58</v>
      </c>
      <c r="V15" s="70">
        <f t="shared" si="10"/>
        <v>54.5</v>
      </c>
    </row>
    <row r="16" spans="1:22">
      <c r="A16" s="626"/>
      <c r="B16" s="529" t="s">
        <v>120</v>
      </c>
      <c r="C16" s="464">
        <v>3</v>
      </c>
      <c r="D16" s="464">
        <v>3</v>
      </c>
      <c r="E16" s="516">
        <f t="shared" si="1"/>
        <v>0.27272727272727271</v>
      </c>
      <c r="F16" s="464">
        <v>8</v>
      </c>
      <c r="G16" s="464">
        <v>8</v>
      </c>
      <c r="H16" s="517">
        <f t="shared" si="2"/>
        <v>0.72727272727272729</v>
      </c>
      <c r="I16" s="70">
        <f t="shared" si="6"/>
        <v>11</v>
      </c>
      <c r="J16" s="70">
        <f t="shared" si="7"/>
        <v>11</v>
      </c>
      <c r="M16" s="626" t="s">
        <v>116</v>
      </c>
      <c r="N16" s="76" t="s">
        <v>116</v>
      </c>
      <c r="O16" s="77">
        <v>20</v>
      </c>
      <c r="P16" s="77">
        <v>18.5</v>
      </c>
      <c r="Q16" s="80">
        <f t="shared" si="11"/>
        <v>0.5714285714285714</v>
      </c>
      <c r="R16" s="77">
        <v>15</v>
      </c>
      <c r="S16" s="77">
        <v>13.8</v>
      </c>
      <c r="T16" s="81">
        <f t="shared" si="12"/>
        <v>0.42857142857142855</v>
      </c>
      <c r="U16" s="70">
        <f t="shared" si="9"/>
        <v>35</v>
      </c>
      <c r="V16" s="70">
        <f t="shared" si="10"/>
        <v>32.299999999999997</v>
      </c>
    </row>
    <row r="17" spans="1:22">
      <c r="A17" s="625" t="s">
        <v>121</v>
      </c>
      <c r="B17" s="625"/>
      <c r="C17" s="71">
        <f>SUM(C13:C16)</f>
        <v>72</v>
      </c>
      <c r="D17" s="71">
        <f>SUM(D13:D16)</f>
        <v>71.400000000000006</v>
      </c>
      <c r="E17" s="72">
        <f t="shared" si="1"/>
        <v>0.42352941176470588</v>
      </c>
      <c r="F17" s="71">
        <f>SUM(F13:F16)</f>
        <v>98</v>
      </c>
      <c r="G17" s="71">
        <f>SUM(G13:G16)</f>
        <v>97.5</v>
      </c>
      <c r="H17" s="73">
        <f t="shared" si="2"/>
        <v>0.57647058823529407</v>
      </c>
      <c r="I17" s="70">
        <f t="shared" si="6"/>
        <v>170</v>
      </c>
      <c r="J17" s="70">
        <f t="shared" si="7"/>
        <v>168.9</v>
      </c>
      <c r="M17" s="626"/>
      <c r="N17" s="76" t="s">
        <v>44</v>
      </c>
      <c r="O17" s="77">
        <v>4</v>
      </c>
      <c r="P17" s="77">
        <v>4</v>
      </c>
      <c r="Q17" s="80">
        <f t="shared" si="11"/>
        <v>0.44444444444444442</v>
      </c>
      <c r="R17" s="77">
        <v>5</v>
      </c>
      <c r="S17" s="77">
        <v>5</v>
      </c>
      <c r="T17" s="81">
        <f t="shared" si="12"/>
        <v>0.55555555555555558</v>
      </c>
      <c r="U17" s="70">
        <f t="shared" si="9"/>
        <v>9</v>
      </c>
      <c r="V17" s="70">
        <f t="shared" si="10"/>
        <v>9</v>
      </c>
    </row>
    <row r="18" spans="1:22">
      <c r="A18" s="624" t="s">
        <v>10</v>
      </c>
      <c r="B18" s="624"/>
      <c r="C18" s="70">
        <f>C17+C12+C7</f>
        <v>255</v>
      </c>
      <c r="D18" s="70">
        <f>D17+D12+D7</f>
        <v>251.9</v>
      </c>
      <c r="E18" s="74">
        <f t="shared" si="1"/>
        <v>0.39412673879443588</v>
      </c>
      <c r="F18" s="70">
        <f>F17+F12+F7</f>
        <v>392</v>
      </c>
      <c r="G18" s="70">
        <f>G17+G12+G7</f>
        <v>390.3</v>
      </c>
      <c r="H18" s="75">
        <f t="shared" si="2"/>
        <v>0.60587326120556417</v>
      </c>
      <c r="I18" s="70">
        <f t="shared" si="6"/>
        <v>647</v>
      </c>
      <c r="J18" s="70">
        <f t="shared" si="7"/>
        <v>642.20000000000005</v>
      </c>
      <c r="M18" s="625" t="s">
        <v>121</v>
      </c>
      <c r="N18" s="625"/>
      <c r="O18" s="71">
        <f>SUM(O16:O17)</f>
        <v>24</v>
      </c>
      <c r="P18" s="71">
        <f>SUM(P16:P17)</f>
        <v>22.5</v>
      </c>
      <c r="Q18" s="72">
        <f t="shared" si="11"/>
        <v>0.54545454545454541</v>
      </c>
      <c r="R18" s="71">
        <f>SUM(R16:R17)</f>
        <v>20</v>
      </c>
      <c r="S18" s="71">
        <f>SUM(S16:S17)</f>
        <v>18.8</v>
      </c>
      <c r="T18" s="73">
        <f t="shared" si="12"/>
        <v>0.45454545454545453</v>
      </c>
      <c r="U18" s="70">
        <f t="shared" si="9"/>
        <v>44</v>
      </c>
      <c r="V18" s="70">
        <f t="shared" si="10"/>
        <v>41.3</v>
      </c>
    </row>
    <row r="19" spans="1:22">
      <c r="M19" s="626" t="s">
        <v>47</v>
      </c>
      <c r="N19" s="76" t="s">
        <v>7</v>
      </c>
      <c r="O19" s="77">
        <v>2</v>
      </c>
      <c r="P19" s="77">
        <v>1.8</v>
      </c>
      <c r="Q19" s="80">
        <f t="shared" si="11"/>
        <v>0.5</v>
      </c>
      <c r="R19" s="77">
        <v>2</v>
      </c>
      <c r="S19" s="77">
        <v>2</v>
      </c>
      <c r="T19" s="81">
        <f t="shared" si="12"/>
        <v>0.5</v>
      </c>
      <c r="U19" s="70">
        <f t="shared" si="9"/>
        <v>4</v>
      </c>
      <c r="V19" s="70">
        <f t="shared" si="10"/>
        <v>3.8</v>
      </c>
    </row>
    <row r="20" spans="1:22" ht="15.75">
      <c r="A20" s="13" t="s">
        <v>122</v>
      </c>
      <c r="F20" s="13" t="s">
        <v>124</v>
      </c>
      <c r="M20" s="626"/>
      <c r="N20" s="76" t="s">
        <v>8</v>
      </c>
      <c r="O20" s="77">
        <v>32</v>
      </c>
      <c r="P20" s="77">
        <v>31.4</v>
      </c>
      <c r="Q20" s="80">
        <f t="shared" si="11"/>
        <v>0.5</v>
      </c>
      <c r="R20" s="77">
        <v>32</v>
      </c>
      <c r="S20" s="77">
        <v>30.6</v>
      </c>
      <c r="T20" s="81">
        <f t="shared" si="12"/>
        <v>0.5</v>
      </c>
      <c r="U20" s="70">
        <f t="shared" si="9"/>
        <v>64</v>
      </c>
      <c r="V20" s="70">
        <f t="shared" si="10"/>
        <v>62</v>
      </c>
    </row>
    <row r="21" spans="1:22">
      <c r="A21" t="s">
        <v>106</v>
      </c>
      <c r="B21">
        <f>I7</f>
        <v>390</v>
      </c>
      <c r="C21" s="66">
        <f>B21/$B$24</f>
        <v>0.60278207109737247</v>
      </c>
      <c r="M21" s="626"/>
      <c r="N21" s="76" t="s">
        <v>141</v>
      </c>
      <c r="O21" s="77">
        <v>47</v>
      </c>
      <c r="P21" s="77">
        <v>47</v>
      </c>
      <c r="Q21" s="80">
        <f t="shared" si="11"/>
        <v>0.41228070175438597</v>
      </c>
      <c r="R21" s="77">
        <v>67</v>
      </c>
      <c r="S21" s="77">
        <v>67</v>
      </c>
      <c r="T21" s="81">
        <f t="shared" si="12"/>
        <v>0.58771929824561409</v>
      </c>
      <c r="U21" s="70">
        <f t="shared" si="9"/>
        <v>114</v>
      </c>
      <c r="V21" s="70">
        <f t="shared" si="10"/>
        <v>114</v>
      </c>
    </row>
    <row r="22" spans="1:22">
      <c r="A22" t="s">
        <v>110</v>
      </c>
      <c r="B22">
        <f>I12</f>
        <v>87</v>
      </c>
      <c r="C22" s="66">
        <f>B22/$B$24</f>
        <v>0.13446676970633695</v>
      </c>
      <c r="G22" s="79">
        <f>E17</f>
        <v>0.42352941176470588</v>
      </c>
      <c r="H22" s="79">
        <f>H17</f>
        <v>0.57647058823529407</v>
      </c>
      <c r="M22" s="625" t="s">
        <v>142</v>
      </c>
      <c r="N22" s="625"/>
      <c r="O22" s="71">
        <f>SUM(O19:O21)</f>
        <v>81</v>
      </c>
      <c r="P22" s="71">
        <f>SUM(P19:P21)</f>
        <v>80.199999999999989</v>
      </c>
      <c r="Q22" s="72">
        <f t="shared" si="11"/>
        <v>0.44505494505494503</v>
      </c>
      <c r="R22" s="71">
        <f>SUM(R19:R21)</f>
        <v>101</v>
      </c>
      <c r="S22" s="71">
        <f>SUM(S19:S21)</f>
        <v>99.6</v>
      </c>
      <c r="T22" s="73">
        <f t="shared" si="12"/>
        <v>0.55494505494505497</v>
      </c>
      <c r="U22" s="70">
        <f t="shared" si="9"/>
        <v>182</v>
      </c>
      <c r="V22" s="70">
        <f t="shared" si="10"/>
        <v>179.79999999999998</v>
      </c>
    </row>
    <row r="23" spans="1:22">
      <c r="A23" t="s">
        <v>116</v>
      </c>
      <c r="B23">
        <f>I17</f>
        <v>170</v>
      </c>
      <c r="C23" s="66">
        <f>B23/$B$24</f>
        <v>0.26275115919629055</v>
      </c>
      <c r="G23" s="79">
        <f>E12</f>
        <v>0.2413793103448276</v>
      </c>
      <c r="H23" s="79">
        <f>H12</f>
        <v>0.75862068965517238</v>
      </c>
      <c r="M23" s="627" t="s">
        <v>10</v>
      </c>
      <c r="N23" s="627"/>
      <c r="O23" s="70">
        <f>O22+O18+O15+O10</f>
        <v>148</v>
      </c>
      <c r="P23" s="70">
        <f>P22+P18+P15+P10</f>
        <v>143.19999999999999</v>
      </c>
      <c r="Q23" s="74">
        <f t="shared" si="11"/>
        <v>0.43274853801169588</v>
      </c>
      <c r="R23" s="70">
        <f>R22+R18+R15+R10</f>
        <v>194</v>
      </c>
      <c r="S23" s="70">
        <f>S22+S18+S15+S10</f>
        <v>182.89999999999998</v>
      </c>
      <c r="T23" s="75">
        <f t="shared" si="12"/>
        <v>0.56725146198830412</v>
      </c>
      <c r="U23" s="70">
        <f t="shared" si="9"/>
        <v>342</v>
      </c>
      <c r="V23" s="70">
        <f t="shared" si="10"/>
        <v>326.09999999999997</v>
      </c>
    </row>
    <row r="24" spans="1:22">
      <c r="B24">
        <f>SUM(B21:B23)</f>
        <v>647</v>
      </c>
      <c r="G24" s="79">
        <f>E7</f>
        <v>0.41538461538461541</v>
      </c>
      <c r="H24" s="79">
        <f>H7</f>
        <v>0.58461538461538465</v>
      </c>
    </row>
    <row r="34" spans="1:20" ht="15.75">
      <c r="A34" s="13" t="s">
        <v>123</v>
      </c>
    </row>
    <row r="35" spans="1:20" ht="15.75">
      <c r="M35" s="13" t="s">
        <v>147</v>
      </c>
      <c r="S35" s="173" t="s">
        <v>148</v>
      </c>
    </row>
    <row r="36" spans="1:20" ht="15.75">
      <c r="A36" t="s">
        <v>107</v>
      </c>
      <c r="B36">
        <v>116</v>
      </c>
      <c r="C36" s="66">
        <f t="shared" ref="C36:C45" si="13">B36/$B$46</f>
        <v>0.17928902627511592</v>
      </c>
      <c r="T36" s="13"/>
    </row>
    <row r="37" spans="1:20">
      <c r="A37" t="s">
        <v>108</v>
      </c>
      <c r="B37">
        <v>277</v>
      </c>
      <c r="C37" s="66">
        <f t="shared" si="13"/>
        <v>0.42812982998454407</v>
      </c>
    </row>
    <row r="38" spans="1:20">
      <c r="A38" t="s">
        <v>111</v>
      </c>
      <c r="B38">
        <v>67</v>
      </c>
      <c r="C38" s="66">
        <f t="shared" si="13"/>
        <v>0.1035548686244204</v>
      </c>
      <c r="M38" t="s">
        <v>141</v>
      </c>
      <c r="N38">
        <f>O21</f>
        <v>47</v>
      </c>
      <c r="O38">
        <f>R21</f>
        <v>67</v>
      </c>
      <c r="P38">
        <f>U21</f>
        <v>114</v>
      </c>
      <c r="Q38" s="66">
        <f t="shared" ref="Q38:Q45" si="14">P38/$P$45</f>
        <v>0.33333333333333331</v>
      </c>
    </row>
    <row r="39" spans="1:20">
      <c r="A39" t="s">
        <v>112</v>
      </c>
      <c r="B39">
        <v>1</v>
      </c>
      <c r="C39" s="66">
        <f t="shared" si="13"/>
        <v>1.5455950540958269E-3</v>
      </c>
      <c r="M39" t="s">
        <v>146</v>
      </c>
      <c r="N39">
        <f>SUM(O19:O20)</f>
        <v>34</v>
      </c>
      <c r="O39">
        <f>SUM(R19:R20)</f>
        <v>34</v>
      </c>
      <c r="P39">
        <f>SUM(U19:U20)</f>
        <v>68</v>
      </c>
      <c r="Q39" s="66">
        <f t="shared" si="14"/>
        <v>0.19883040935672514</v>
      </c>
    </row>
    <row r="40" spans="1:20">
      <c r="A40" t="s">
        <v>113</v>
      </c>
      <c r="B40">
        <v>19</v>
      </c>
      <c r="C40" s="66">
        <f t="shared" si="13"/>
        <v>2.9366306027820709E-2</v>
      </c>
      <c r="M40" t="s">
        <v>44</v>
      </c>
      <c r="N40">
        <f>O17</f>
        <v>4</v>
      </c>
      <c r="O40">
        <f>R17</f>
        <v>5</v>
      </c>
      <c r="P40">
        <f>U17</f>
        <v>9</v>
      </c>
      <c r="Q40" s="66">
        <f t="shared" si="14"/>
        <v>2.6315789473684209E-2</v>
      </c>
    </row>
    <row r="41" spans="1:20">
      <c r="A41" t="s">
        <v>114</v>
      </c>
      <c r="B41">
        <v>3</v>
      </c>
      <c r="C41" s="66">
        <f t="shared" si="13"/>
        <v>4.6367851622874804E-3</v>
      </c>
      <c r="M41" t="s">
        <v>116</v>
      </c>
      <c r="N41">
        <f>O16</f>
        <v>20</v>
      </c>
      <c r="O41">
        <f>R16</f>
        <v>15</v>
      </c>
      <c r="P41">
        <f>U16</f>
        <v>35</v>
      </c>
      <c r="Q41" s="66">
        <f t="shared" si="14"/>
        <v>0.1023391812865497</v>
      </c>
    </row>
    <row r="42" spans="1:20">
      <c r="A42" t="s">
        <v>117</v>
      </c>
      <c r="B42">
        <v>76</v>
      </c>
      <c r="C42" s="66">
        <f t="shared" si="13"/>
        <v>0.11746522411128284</v>
      </c>
      <c r="M42" t="s">
        <v>110</v>
      </c>
      <c r="N42">
        <f>O15</f>
        <v>24</v>
      </c>
      <c r="O42">
        <f>R15</f>
        <v>34</v>
      </c>
      <c r="P42">
        <f>U15</f>
        <v>58</v>
      </c>
      <c r="Q42" s="66">
        <f t="shared" si="14"/>
        <v>0.16959064327485379</v>
      </c>
    </row>
    <row r="43" spans="1:20">
      <c r="A43" t="s">
        <v>118</v>
      </c>
      <c r="B43">
        <v>69</v>
      </c>
      <c r="C43" s="66">
        <f t="shared" si="13"/>
        <v>0.10664605873261206</v>
      </c>
      <c r="M43" t="s">
        <v>43</v>
      </c>
      <c r="N43">
        <f>O7</f>
        <v>12</v>
      </c>
      <c r="O43">
        <f>R7</f>
        <v>22</v>
      </c>
      <c r="P43">
        <f>U7</f>
        <v>34</v>
      </c>
      <c r="Q43" s="66">
        <f t="shared" si="14"/>
        <v>9.9415204678362568E-2</v>
      </c>
    </row>
    <row r="44" spans="1:20">
      <c r="A44" t="s">
        <v>119</v>
      </c>
      <c r="B44">
        <v>8</v>
      </c>
      <c r="C44" s="66">
        <f t="shared" si="13"/>
        <v>1.2364760432766615E-2</v>
      </c>
      <c r="M44" t="s">
        <v>106</v>
      </c>
      <c r="N44">
        <f>SUM(O5:O6,O8:O9)</f>
        <v>7</v>
      </c>
      <c r="O44">
        <f>SUM(R5:R6,R8:R9)</f>
        <v>17</v>
      </c>
      <c r="P44">
        <f>SUM(U5:U6,U8:U9)</f>
        <v>24</v>
      </c>
      <c r="Q44" s="66">
        <f t="shared" si="14"/>
        <v>7.0175438596491224E-2</v>
      </c>
    </row>
    <row r="45" spans="1:20">
      <c r="A45" t="s">
        <v>120</v>
      </c>
      <c r="B45">
        <v>11</v>
      </c>
      <c r="C45" s="66">
        <f t="shared" si="13"/>
        <v>1.7001545595054096E-2</v>
      </c>
      <c r="N45">
        <f>SUM(N38:N44)</f>
        <v>148</v>
      </c>
      <c r="O45">
        <f t="shared" ref="O45:P45" si="15">SUM(O38:O44)</f>
        <v>194</v>
      </c>
      <c r="P45">
        <f t="shared" si="15"/>
        <v>342</v>
      </c>
      <c r="Q45" s="66">
        <f t="shared" si="14"/>
        <v>1</v>
      </c>
    </row>
    <row r="46" spans="1:20">
      <c r="B46">
        <f>SUM(B36:B45)</f>
        <v>647</v>
      </c>
    </row>
    <row r="48" spans="1:20" ht="15.75">
      <c r="A48" s="13" t="s">
        <v>133</v>
      </c>
      <c r="G48" s="13" t="s">
        <v>131</v>
      </c>
    </row>
    <row r="49" spans="1:8" ht="15.75">
      <c r="A49" s="13" t="s">
        <v>134</v>
      </c>
      <c r="G49" s="13" t="s">
        <v>132</v>
      </c>
    </row>
    <row r="51" spans="1:8">
      <c r="A51" t="s">
        <v>126</v>
      </c>
      <c r="B51">
        <v>95</v>
      </c>
    </row>
    <row r="52" spans="1:8">
      <c r="A52" t="s">
        <v>127</v>
      </c>
      <c r="B52">
        <v>98</v>
      </c>
    </row>
    <row r="53" spans="1:8">
      <c r="A53" t="s">
        <v>128</v>
      </c>
      <c r="B53">
        <v>26</v>
      </c>
      <c r="G53" t="s">
        <v>126</v>
      </c>
      <c r="H53">
        <v>95</v>
      </c>
    </row>
    <row r="54" spans="1:8">
      <c r="A54" t="s">
        <v>129</v>
      </c>
      <c r="B54">
        <v>174</v>
      </c>
      <c r="G54" t="s">
        <v>127</v>
      </c>
      <c r="H54">
        <v>98</v>
      </c>
    </row>
    <row r="55" spans="1:8">
      <c r="A55" t="s">
        <v>10</v>
      </c>
      <c r="B55">
        <v>393</v>
      </c>
      <c r="G55" t="s">
        <v>130</v>
      </c>
      <c r="H55">
        <v>90</v>
      </c>
    </row>
    <row r="56" spans="1:8">
      <c r="G56" t="s">
        <v>128</v>
      </c>
      <c r="H56">
        <v>26</v>
      </c>
    </row>
    <row r="57" spans="1:8">
      <c r="G57" t="s">
        <v>129</v>
      </c>
      <c r="H57">
        <v>174</v>
      </c>
    </row>
  </sheetData>
  <mergeCells count="16">
    <mergeCell ref="M19:M21"/>
    <mergeCell ref="M23:N23"/>
    <mergeCell ref="M10:N10"/>
    <mergeCell ref="M15:N15"/>
    <mergeCell ref="M18:N18"/>
    <mergeCell ref="M22:N22"/>
    <mergeCell ref="M5:M9"/>
    <mergeCell ref="A18:B18"/>
    <mergeCell ref="A17:B17"/>
    <mergeCell ref="A12:B12"/>
    <mergeCell ref="A7:B7"/>
    <mergeCell ref="A5:A6"/>
    <mergeCell ref="A8:A11"/>
    <mergeCell ref="A13:A16"/>
    <mergeCell ref="M11:M14"/>
    <mergeCell ref="M16:M17"/>
  </mergeCells>
  <pageMargins left="0.23622047244094491" right="0.23622047244094491" top="0.98425196850393704" bottom="0.74803149606299213" header="0.31496062992125984" footer="0.31496062992125984"/>
  <pageSetup paperSize="9" orientation="landscape" horizontalDpi="4294967293" r:id="rId1"/>
  <headerFooter>
    <oddHeader>&amp;C&amp;"Comic Sans MS,Gras"&amp;10Chapitre I - Emploi - Effectif - Démographie - Parité femmes/hommes
2. Effectifs
2.3 Effectif Enseignants au 31/12/23</oddHeader>
    <oddFooter>&amp;C&amp;"-,Gras"&amp;12Base de Données Sociales 2023&amp;R&amp;P</oddFooter>
  </headerFooter>
  <ignoredErrors>
    <ignoredError sqref="E7 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3282-B8A9-4199-AB47-D88C7CD6B2F0}">
  <sheetPr>
    <tabColor rgb="FF92D050"/>
  </sheetPr>
  <dimension ref="A1:G54"/>
  <sheetViews>
    <sheetView showGridLines="0" view="pageLayout" zoomScale="40" zoomScaleNormal="100" zoomScalePageLayoutView="40" workbookViewId="0">
      <selection activeCell="D61" sqref="D61"/>
    </sheetView>
  </sheetViews>
  <sheetFormatPr baseColWidth="10" defaultRowHeight="15"/>
  <cols>
    <col min="1" max="1" width="37.85546875" bestFit="1" customWidth="1"/>
    <col min="2" max="2" width="12.85546875" customWidth="1"/>
    <col min="6" max="6" width="28.85546875" customWidth="1"/>
    <col min="7" max="7" width="19.140625" customWidth="1"/>
  </cols>
  <sheetData>
    <row r="1" spans="1:7">
      <c r="A1" s="173" t="s">
        <v>562</v>
      </c>
    </row>
    <row r="2" spans="1:7" ht="6" customHeight="1"/>
    <row r="3" spans="1:7">
      <c r="A3" t="s">
        <v>559</v>
      </c>
      <c r="F3" t="s">
        <v>561</v>
      </c>
    </row>
    <row r="4" spans="1:7" ht="6.75" customHeight="1"/>
    <row r="5" spans="1:7">
      <c r="A5" s="378" t="s">
        <v>552</v>
      </c>
      <c r="B5" s="61">
        <v>5</v>
      </c>
      <c r="F5" s="378" t="s">
        <v>552</v>
      </c>
      <c r="G5" s="61">
        <v>327</v>
      </c>
    </row>
    <row r="6" spans="1:7">
      <c r="A6" s="378" t="s">
        <v>553</v>
      </c>
      <c r="B6" s="61">
        <v>24</v>
      </c>
      <c r="F6" s="378" t="s">
        <v>553</v>
      </c>
      <c r="G6" s="61">
        <v>549</v>
      </c>
    </row>
    <row r="7" spans="1:7">
      <c r="A7" s="378" t="s">
        <v>554</v>
      </c>
      <c r="B7" s="61">
        <v>65</v>
      </c>
      <c r="F7" s="378" t="s">
        <v>556</v>
      </c>
      <c r="G7" s="61">
        <v>2244</v>
      </c>
    </row>
    <row r="8" spans="1:7">
      <c r="A8" s="378" t="s">
        <v>556</v>
      </c>
      <c r="B8" s="61">
        <v>77</v>
      </c>
      <c r="F8" s="378" t="s">
        <v>555</v>
      </c>
      <c r="G8" s="61">
        <v>3129</v>
      </c>
    </row>
    <row r="9" spans="1:7" ht="24.75">
      <c r="A9" s="379" t="s">
        <v>560</v>
      </c>
      <c r="B9" s="61">
        <f>107+20</f>
        <v>127</v>
      </c>
      <c r="F9" s="379" t="s">
        <v>560</v>
      </c>
      <c r="G9" s="61">
        <v>3652</v>
      </c>
    </row>
    <row r="10" spans="1:7">
      <c r="A10" s="378" t="s">
        <v>557</v>
      </c>
      <c r="B10" s="61">
        <v>170</v>
      </c>
      <c r="F10" s="378" t="s">
        <v>558</v>
      </c>
      <c r="G10" s="61">
        <v>3997</v>
      </c>
    </row>
    <row r="11" spans="1:7">
      <c r="A11" s="378" t="s">
        <v>558</v>
      </c>
      <c r="B11" s="61">
        <v>233</v>
      </c>
      <c r="F11" s="378" t="s">
        <v>557</v>
      </c>
      <c r="G11" s="61">
        <v>6826</v>
      </c>
    </row>
    <row r="12" spans="1:7">
      <c r="A12" s="378" t="s">
        <v>555</v>
      </c>
      <c r="B12" s="61">
        <v>239</v>
      </c>
      <c r="F12" s="378" t="s">
        <v>554</v>
      </c>
      <c r="G12" s="61">
        <v>8928</v>
      </c>
    </row>
    <row r="13" spans="1:7">
      <c r="A13" s="380" t="s">
        <v>9</v>
      </c>
      <c r="B13" s="50">
        <f>SUM(B5:B12)</f>
        <v>940</v>
      </c>
      <c r="F13" s="380" t="s">
        <v>9</v>
      </c>
      <c r="G13" s="50">
        <f>SUM(G5:G12)</f>
        <v>29652</v>
      </c>
    </row>
    <row r="30" spans="1:2">
      <c r="A30" s="173" t="s">
        <v>563</v>
      </c>
    </row>
    <row r="31" spans="1:2" ht="8.25" customHeight="1"/>
    <row r="32" spans="1:2">
      <c r="A32" s="383" t="s">
        <v>564</v>
      </c>
      <c r="B32" s="385">
        <v>83</v>
      </c>
    </row>
    <row r="33" spans="1:5">
      <c r="A33" s="383" t="s">
        <v>565</v>
      </c>
      <c r="B33" s="385">
        <v>68</v>
      </c>
    </row>
    <row r="34" spans="1:5">
      <c r="A34" s="383" t="s">
        <v>566</v>
      </c>
      <c r="B34" s="385">
        <v>27</v>
      </c>
    </row>
    <row r="35" spans="1:5">
      <c r="A35" s="383" t="s">
        <v>567</v>
      </c>
      <c r="B35" s="385">
        <v>24</v>
      </c>
    </row>
    <row r="36" spans="1:5">
      <c r="A36" s="383" t="s">
        <v>568</v>
      </c>
      <c r="B36" s="385">
        <v>14</v>
      </c>
      <c r="D36" t="s">
        <v>577</v>
      </c>
      <c r="E36">
        <v>2</v>
      </c>
    </row>
    <row r="37" spans="1:5">
      <c r="A37" s="383" t="s">
        <v>569</v>
      </c>
      <c r="B37" s="385">
        <v>14</v>
      </c>
      <c r="D37" t="s">
        <v>581</v>
      </c>
      <c r="E37">
        <v>2</v>
      </c>
    </row>
    <row r="38" spans="1:5">
      <c r="A38" s="384" t="s">
        <v>585</v>
      </c>
      <c r="B38" s="385">
        <v>14</v>
      </c>
      <c r="D38" t="s">
        <v>676</v>
      </c>
      <c r="E38">
        <v>2</v>
      </c>
    </row>
    <row r="39" spans="1:5">
      <c r="A39" s="383" t="s">
        <v>570</v>
      </c>
      <c r="B39" s="385">
        <v>13</v>
      </c>
      <c r="D39" t="s">
        <v>576</v>
      </c>
      <c r="E39">
        <v>4</v>
      </c>
    </row>
    <row r="40" spans="1:5">
      <c r="A40" s="383" t="s">
        <v>571</v>
      </c>
      <c r="B40" s="385">
        <v>9</v>
      </c>
      <c r="D40" t="s">
        <v>575</v>
      </c>
      <c r="E40">
        <v>5</v>
      </c>
    </row>
    <row r="41" spans="1:5">
      <c r="A41" s="383" t="s">
        <v>572</v>
      </c>
      <c r="B41" s="385">
        <v>9</v>
      </c>
      <c r="D41" t="s">
        <v>572</v>
      </c>
      <c r="E41">
        <v>9</v>
      </c>
    </row>
    <row r="42" spans="1:5">
      <c r="A42" s="383" t="s">
        <v>573</v>
      </c>
      <c r="B42" s="385">
        <v>5</v>
      </c>
      <c r="D42" t="s">
        <v>570</v>
      </c>
      <c r="E42">
        <v>13</v>
      </c>
    </row>
    <row r="43" spans="1:5">
      <c r="A43" s="383" t="s">
        <v>574</v>
      </c>
      <c r="B43" s="385">
        <v>5</v>
      </c>
      <c r="D43" t="s">
        <v>674</v>
      </c>
      <c r="E43">
        <v>14</v>
      </c>
    </row>
    <row r="44" spans="1:5">
      <c r="A44" s="383" t="s">
        <v>575</v>
      </c>
      <c r="B44" s="385">
        <v>5</v>
      </c>
      <c r="D44" t="s">
        <v>675</v>
      </c>
      <c r="E44">
        <v>14</v>
      </c>
    </row>
    <row r="45" spans="1:5">
      <c r="A45" s="383" t="s">
        <v>576</v>
      </c>
      <c r="B45" s="385">
        <v>4</v>
      </c>
      <c r="D45" t="s">
        <v>673</v>
      </c>
      <c r="E45">
        <v>27</v>
      </c>
    </row>
    <row r="46" spans="1:5">
      <c r="A46" s="383" t="s">
        <v>577</v>
      </c>
      <c r="B46" s="385">
        <v>2</v>
      </c>
      <c r="D46" t="s">
        <v>670</v>
      </c>
      <c r="E46">
        <v>38</v>
      </c>
    </row>
    <row r="47" spans="1:5">
      <c r="A47" s="383" t="s">
        <v>578</v>
      </c>
      <c r="B47" s="385">
        <v>2</v>
      </c>
      <c r="D47" t="s">
        <v>671</v>
      </c>
      <c r="E47">
        <v>83</v>
      </c>
    </row>
    <row r="48" spans="1:5">
      <c r="A48" s="383" t="s">
        <v>579</v>
      </c>
      <c r="B48" s="385">
        <v>2</v>
      </c>
      <c r="D48" t="s">
        <v>672</v>
      </c>
      <c r="E48">
        <v>92</v>
      </c>
    </row>
    <row r="49" spans="1:2">
      <c r="A49" s="383" t="s">
        <v>580</v>
      </c>
      <c r="B49" s="385">
        <v>1</v>
      </c>
    </row>
    <row r="50" spans="1:2">
      <c r="A50" s="383" t="s">
        <v>581</v>
      </c>
      <c r="B50" s="385">
        <v>1</v>
      </c>
    </row>
    <row r="51" spans="1:2">
      <c r="A51" s="383" t="s">
        <v>582</v>
      </c>
      <c r="B51" s="385">
        <v>1</v>
      </c>
    </row>
    <row r="52" spans="1:2">
      <c r="A52" s="383" t="s">
        <v>583</v>
      </c>
      <c r="B52" s="385">
        <v>1</v>
      </c>
    </row>
    <row r="53" spans="1:2">
      <c r="A53" s="383" t="s">
        <v>584</v>
      </c>
      <c r="B53" s="385">
        <v>1</v>
      </c>
    </row>
    <row r="54" spans="1:2">
      <c r="A54" s="381" t="s">
        <v>9</v>
      </c>
      <c r="B54" s="382">
        <f>SUM(B32:B53)</f>
        <v>305</v>
      </c>
    </row>
  </sheetData>
  <autoFilter ref="D35:E35" xr:uid="{9FC568A9-71FB-4E94-AC03-6EA27956850C}">
    <sortState ref="D36:E48">
      <sortCondition ref="E35"/>
    </sortState>
  </autoFilter>
  <sortState ref="F5:G13">
    <sortCondition ref="G5"/>
  </sortState>
  <pageMargins left="0.70866141732283472" right="0.70866141732283472" top="0.98425196850393704" bottom="0.74803149606299213" header="0.31496062992125984" footer="0.31496062992125984"/>
  <pageSetup paperSize="9" scale="97" orientation="landscape" r:id="rId1"/>
  <headerFooter>
    <oddHeader>&amp;C&amp;"-,Gras"Chapitre I - Emploi - Effectif - Démographie - Parité femmes/hommes
2. Effectifs
2.4 Contratuels étudiants et stages</oddHeader>
    <oddFooter>&amp;C&amp;"-,Gras"Base de Données Sociales 2023&amp;R&amp;P</oddFooter>
  </headerFooter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AFB6-72CE-4BC8-8C94-7EC02AD5FBB2}">
  <sheetPr codeName="Feuil5">
    <tabColor rgb="FF92D050"/>
    <pageSetUpPr fitToPage="1"/>
  </sheetPr>
  <dimension ref="A1:L138"/>
  <sheetViews>
    <sheetView showGridLines="0" view="pageLayout" zoomScale="80" zoomScaleNormal="100" zoomScalePageLayoutView="80" workbookViewId="0">
      <selection activeCell="G27" sqref="G27"/>
    </sheetView>
  </sheetViews>
  <sheetFormatPr baseColWidth="10" defaultRowHeight="15"/>
  <cols>
    <col min="1" max="1" width="11.42578125" style="205"/>
    <col min="5" max="5" width="14" customWidth="1"/>
  </cols>
  <sheetData>
    <row r="1" spans="2:12" ht="15.75">
      <c r="B1" s="409" t="s">
        <v>364</v>
      </c>
      <c r="C1" s="203"/>
      <c r="D1" s="203"/>
      <c r="E1" s="203"/>
      <c r="F1" s="203"/>
      <c r="G1" s="203"/>
      <c r="H1" s="203"/>
      <c r="I1" s="203"/>
      <c r="J1" s="203"/>
      <c r="K1" s="203"/>
      <c r="L1" s="204"/>
    </row>
    <row r="2" spans="2:12" ht="8.25" customHeight="1">
      <c r="B2" s="13"/>
    </row>
    <row r="3" spans="2:12" ht="30">
      <c r="B3" s="77"/>
      <c r="C3" s="518" t="s">
        <v>149</v>
      </c>
      <c r="D3" s="518" t="s">
        <v>154</v>
      </c>
      <c r="E3" s="519" t="s">
        <v>157</v>
      </c>
    </row>
    <row r="4" spans="2:12" ht="15.75">
      <c r="B4" s="82" t="s">
        <v>150</v>
      </c>
      <c r="C4" s="77" t="s">
        <v>365</v>
      </c>
      <c r="D4" s="77" t="s">
        <v>155</v>
      </c>
      <c r="E4" s="83">
        <f>(-(D20+D19))/-(SUM(D10:D20))</f>
        <v>9.5661846496106789E-2</v>
      </c>
      <c r="G4" s="13" t="s">
        <v>172</v>
      </c>
    </row>
    <row r="5" spans="2:12">
      <c r="B5" s="82" t="s">
        <v>151</v>
      </c>
      <c r="C5" s="77" t="s">
        <v>174</v>
      </c>
      <c r="D5" s="77" t="s">
        <v>156</v>
      </c>
      <c r="E5" s="83">
        <f>(C19+C20)/SUM(C10:C20)</f>
        <v>0.11360799001248439</v>
      </c>
    </row>
    <row r="6" spans="2:12">
      <c r="B6" s="82" t="s">
        <v>152</v>
      </c>
      <c r="C6" s="77" t="s">
        <v>179</v>
      </c>
      <c r="D6" s="77" t="s">
        <v>155</v>
      </c>
      <c r="E6" s="83">
        <f>(-SUM(D19:D20)+SUM(C19:C20))/(-SUM(D10:D20)+SUM(C10:C20))</f>
        <v>0.10411764705882352</v>
      </c>
    </row>
    <row r="9" spans="2:12">
      <c r="C9" t="s">
        <v>151</v>
      </c>
      <c r="D9" t="s">
        <v>150</v>
      </c>
      <c r="H9" s="59" t="s">
        <v>167</v>
      </c>
      <c r="I9" s="85">
        <f>-SUM(D10:D12)+SUM(C10:C12)</f>
        <v>246</v>
      </c>
    </row>
    <row r="10" spans="2:12">
      <c r="B10" t="s">
        <v>366</v>
      </c>
      <c r="C10">
        <v>1</v>
      </c>
      <c r="D10">
        <v>-1</v>
      </c>
      <c r="H10" s="59" t="s">
        <v>169</v>
      </c>
      <c r="I10" s="85">
        <f>-SUM(D13:D16)+SUM(C13:C16)</f>
        <v>797</v>
      </c>
    </row>
    <row r="11" spans="2:12">
      <c r="B11" t="s">
        <v>158</v>
      </c>
      <c r="C11">
        <v>24</v>
      </c>
      <c r="D11">
        <v>-30</v>
      </c>
      <c r="H11" t="s">
        <v>168</v>
      </c>
      <c r="I11">
        <f>-SUM(D17:D20)+SUM(C17:C20)</f>
        <v>657</v>
      </c>
    </row>
    <row r="12" spans="2:12">
      <c r="B12" t="s">
        <v>159</v>
      </c>
      <c r="C12">
        <v>90</v>
      </c>
      <c r="D12">
        <v>-100</v>
      </c>
    </row>
    <row r="13" spans="2:12">
      <c r="B13" t="s">
        <v>160</v>
      </c>
      <c r="C13">
        <v>91</v>
      </c>
      <c r="D13">
        <v>-96</v>
      </c>
    </row>
    <row r="14" spans="2:12">
      <c r="B14" t="s">
        <v>161</v>
      </c>
      <c r="C14">
        <v>69</v>
      </c>
      <c r="D14">
        <v>-108</v>
      </c>
    </row>
    <row r="15" spans="2:12">
      <c r="B15" t="s">
        <v>162</v>
      </c>
      <c r="C15">
        <v>98</v>
      </c>
      <c r="D15">
        <v>-110</v>
      </c>
    </row>
    <row r="16" spans="2:12">
      <c r="B16" t="s">
        <v>163</v>
      </c>
      <c r="C16">
        <v>102</v>
      </c>
      <c r="D16">
        <v>-123</v>
      </c>
    </row>
    <row r="17" spans="2:11">
      <c r="B17" t="s">
        <v>164</v>
      </c>
      <c r="C17">
        <v>118</v>
      </c>
      <c r="D17">
        <v>-140</v>
      </c>
    </row>
    <row r="18" spans="2:11">
      <c r="B18" t="s">
        <v>165</v>
      </c>
      <c r="C18">
        <v>117</v>
      </c>
      <c r="D18">
        <v>-105</v>
      </c>
    </row>
    <row r="19" spans="2:11">
      <c r="B19" t="s">
        <v>166</v>
      </c>
      <c r="C19">
        <v>75</v>
      </c>
      <c r="D19">
        <v>-79</v>
      </c>
    </row>
    <row r="20" spans="2:11">
      <c r="B20" t="s">
        <v>175</v>
      </c>
      <c r="C20">
        <v>16</v>
      </c>
      <c r="D20">
        <v>-7</v>
      </c>
    </row>
    <row r="23" spans="2:11" ht="6" customHeight="1"/>
    <row r="24" spans="2:11" ht="15.75">
      <c r="B24" s="360" t="s">
        <v>679</v>
      </c>
    </row>
    <row r="25" spans="2:11" ht="9" customHeight="1"/>
    <row r="26" spans="2:11" ht="30">
      <c r="B26" s="78"/>
      <c r="C26" s="518" t="s">
        <v>149</v>
      </c>
      <c r="D26" s="518" t="s">
        <v>154</v>
      </c>
      <c r="E26" s="519" t="s">
        <v>157</v>
      </c>
    </row>
    <row r="27" spans="2:11">
      <c r="B27" s="82" t="s">
        <v>150</v>
      </c>
      <c r="C27" s="78" t="s">
        <v>657</v>
      </c>
      <c r="D27" s="78" t="s">
        <v>660</v>
      </c>
      <c r="E27" s="83">
        <v>9.4E-2</v>
      </c>
      <c r="G27" s="173" t="s">
        <v>680</v>
      </c>
    </row>
    <row r="28" spans="2:11">
      <c r="B28" s="82" t="s">
        <v>151</v>
      </c>
      <c r="C28" s="78" t="s">
        <v>658</v>
      </c>
      <c r="D28" s="78" t="s">
        <v>156</v>
      </c>
      <c r="E28" s="83">
        <v>0.13500000000000001</v>
      </c>
    </row>
    <row r="29" spans="2:11">
      <c r="B29" s="82" t="s">
        <v>9</v>
      </c>
      <c r="C29" s="78" t="s">
        <v>659</v>
      </c>
      <c r="D29" s="78" t="s">
        <v>155</v>
      </c>
      <c r="E29" s="83">
        <v>0.11799999999999999</v>
      </c>
    </row>
    <row r="31" spans="2:11">
      <c r="C31" s="82" t="s">
        <v>151</v>
      </c>
      <c r="D31" s="82" t="s">
        <v>150</v>
      </c>
    </row>
    <row r="32" spans="2:11">
      <c r="B32" t="s">
        <v>158</v>
      </c>
      <c r="C32">
        <v>16</v>
      </c>
      <c r="D32">
        <v>-14</v>
      </c>
      <c r="J32" t="s">
        <v>167</v>
      </c>
      <c r="K32">
        <f>-(D33+D32)+E32+E33</f>
        <v>72</v>
      </c>
    </row>
    <row r="33" spans="2:11">
      <c r="B33" t="s">
        <v>159</v>
      </c>
      <c r="C33">
        <v>73</v>
      </c>
      <c r="D33">
        <v>-58</v>
      </c>
      <c r="J33" t="s">
        <v>169</v>
      </c>
      <c r="K33">
        <f>-SUM(D34:D37)+SUM(E34:E37)</f>
        <v>195</v>
      </c>
    </row>
    <row r="34" spans="2:11">
      <c r="B34" t="s">
        <v>160</v>
      </c>
      <c r="C34">
        <v>75</v>
      </c>
      <c r="D34">
        <v>-49</v>
      </c>
      <c r="J34" t="s">
        <v>168</v>
      </c>
      <c r="K34">
        <f>-SUM(D38:D41)+SUM(E38:E41)</f>
        <v>136</v>
      </c>
    </row>
    <row r="35" spans="2:11">
      <c r="B35" t="s">
        <v>161</v>
      </c>
      <c r="C35">
        <v>47</v>
      </c>
      <c r="D35">
        <v>-49</v>
      </c>
    </row>
    <row r="36" spans="2:11">
      <c r="B36" t="s">
        <v>162</v>
      </c>
      <c r="C36">
        <v>68</v>
      </c>
      <c r="D36">
        <v>-44</v>
      </c>
    </row>
    <row r="37" spans="2:11">
      <c r="B37" t="s">
        <v>163</v>
      </c>
      <c r="C37">
        <v>70</v>
      </c>
      <c r="D37">
        <v>-53</v>
      </c>
    </row>
    <row r="38" spans="2:11">
      <c r="B38" t="s">
        <v>164</v>
      </c>
      <c r="C38">
        <v>79</v>
      </c>
      <c r="D38">
        <v>-49</v>
      </c>
    </row>
    <row r="39" spans="2:11">
      <c r="B39" t="s">
        <v>165</v>
      </c>
      <c r="C39">
        <v>79</v>
      </c>
      <c r="D39">
        <v>-49</v>
      </c>
    </row>
    <row r="40" spans="2:11">
      <c r="B40" t="s">
        <v>166</v>
      </c>
      <c r="C40">
        <v>63</v>
      </c>
      <c r="D40">
        <v>-34</v>
      </c>
    </row>
    <row r="41" spans="2:11">
      <c r="B41" t="s">
        <v>175</v>
      </c>
      <c r="C41">
        <v>16</v>
      </c>
      <c r="D41">
        <v>-4</v>
      </c>
    </row>
    <row r="46" spans="2:11" ht="15" customHeight="1"/>
    <row r="47" spans="2:11" ht="7.5" customHeight="1"/>
    <row r="48" spans="2:11" ht="15.75">
      <c r="B48" s="360" t="s">
        <v>173</v>
      </c>
    </row>
    <row r="49" spans="2:10" ht="7.5" customHeight="1"/>
    <row r="50" spans="2:10" ht="30">
      <c r="B50" s="78"/>
      <c r="C50" s="518" t="s">
        <v>149</v>
      </c>
      <c r="D50" s="518" t="s">
        <v>154</v>
      </c>
      <c r="E50" s="519" t="s">
        <v>157</v>
      </c>
    </row>
    <row r="51" spans="2:10">
      <c r="B51" s="82" t="s">
        <v>150</v>
      </c>
      <c r="C51" s="78" t="s">
        <v>374</v>
      </c>
      <c r="D51" s="202" t="s">
        <v>156</v>
      </c>
      <c r="E51" s="83">
        <f>(-(D66+D65))/(-SUM(D56:D66))</f>
        <v>9.6579476861166996E-2</v>
      </c>
    </row>
    <row r="52" spans="2:10" ht="15.75">
      <c r="B52" s="82" t="s">
        <v>151</v>
      </c>
      <c r="C52" s="78" t="s">
        <v>182</v>
      </c>
      <c r="D52" s="202" t="s">
        <v>170</v>
      </c>
      <c r="E52" s="83">
        <f>(C65+C66)/SUM(C56:C66)</f>
        <v>6.0185185185185182E-2</v>
      </c>
      <c r="H52" s="13" t="s">
        <v>176</v>
      </c>
    </row>
    <row r="53" spans="2:10">
      <c r="B53" s="82" t="s">
        <v>9</v>
      </c>
      <c r="C53" s="78" t="s">
        <v>174</v>
      </c>
      <c r="D53" s="202" t="s">
        <v>156</v>
      </c>
      <c r="E53" s="83">
        <f>(-(D65+D66)+C65)/(-SUM(D56:D66)+SUM(C56:C66))</f>
        <v>8.5553997194950909E-2</v>
      </c>
    </row>
    <row r="55" spans="2:10">
      <c r="C55" t="s">
        <v>151</v>
      </c>
      <c r="D55" t="s">
        <v>150</v>
      </c>
    </row>
    <row r="56" spans="2:10">
      <c r="B56" t="s">
        <v>375</v>
      </c>
      <c r="C56">
        <v>1</v>
      </c>
      <c r="D56">
        <v>-1</v>
      </c>
    </row>
    <row r="57" spans="2:10">
      <c r="B57" t="s">
        <v>158</v>
      </c>
      <c r="C57">
        <v>8</v>
      </c>
      <c r="D57">
        <v>-16</v>
      </c>
    </row>
    <row r="58" spans="2:10">
      <c r="B58" t="s">
        <v>159</v>
      </c>
      <c r="C58">
        <v>17</v>
      </c>
      <c r="D58">
        <v>-42</v>
      </c>
      <c r="I58" t="s">
        <v>167</v>
      </c>
      <c r="J58">
        <f>SUM(C56:C58)+-SUM(D56:D58)</f>
        <v>85</v>
      </c>
    </row>
    <row r="59" spans="2:10">
      <c r="B59" t="s">
        <v>160</v>
      </c>
      <c r="C59">
        <v>16</v>
      </c>
      <c r="D59">
        <v>-47</v>
      </c>
      <c r="I59" t="s">
        <v>169</v>
      </c>
      <c r="J59">
        <f>-SUM(D59:D62)+SUM(C59:C62)</f>
        <v>343</v>
      </c>
    </row>
    <row r="60" spans="2:10">
      <c r="B60" t="s">
        <v>161</v>
      </c>
      <c r="C60">
        <v>22</v>
      </c>
      <c r="D60">
        <v>-60</v>
      </c>
      <c r="I60" t="s">
        <v>168</v>
      </c>
      <c r="J60">
        <f>SUM(C63:C66)+-SUM(D63:D66)</f>
        <v>285</v>
      </c>
    </row>
    <row r="61" spans="2:10">
      <c r="B61" t="s">
        <v>162</v>
      </c>
      <c r="C61">
        <v>30</v>
      </c>
      <c r="D61">
        <v>-66</v>
      </c>
    </row>
    <row r="62" spans="2:10">
      <c r="B62" t="s">
        <v>163</v>
      </c>
      <c r="C62">
        <v>32</v>
      </c>
      <c r="D62">
        <v>-70</v>
      </c>
    </row>
    <row r="63" spans="2:10">
      <c r="B63" t="s">
        <v>164</v>
      </c>
      <c r="C63">
        <v>39</v>
      </c>
      <c r="D63">
        <v>-91</v>
      </c>
    </row>
    <row r="64" spans="2:10">
      <c r="B64" t="s">
        <v>165</v>
      </c>
      <c r="C64">
        <v>38</v>
      </c>
      <c r="D64">
        <v>-56</v>
      </c>
    </row>
    <row r="65" spans="2:10">
      <c r="B65" t="s">
        <v>166</v>
      </c>
      <c r="C65">
        <v>13</v>
      </c>
      <c r="D65">
        <v>-45</v>
      </c>
    </row>
    <row r="66" spans="2:10">
      <c r="B66" t="s">
        <v>175</v>
      </c>
      <c r="D66">
        <v>-3</v>
      </c>
    </row>
    <row r="70" spans="2:10" ht="7.5" customHeight="1"/>
    <row r="71" spans="2:10" ht="15.75">
      <c r="B71" s="360" t="s">
        <v>178</v>
      </c>
    </row>
    <row r="72" spans="2:10" ht="7.5" customHeight="1"/>
    <row r="73" spans="2:10" ht="30">
      <c r="B73" s="78"/>
      <c r="C73" s="518" t="s">
        <v>149</v>
      </c>
      <c r="D73" s="518" t="s">
        <v>154</v>
      </c>
      <c r="E73" s="519" t="s">
        <v>157</v>
      </c>
    </row>
    <row r="74" spans="2:10" ht="15.75">
      <c r="B74" s="82" t="s">
        <v>150</v>
      </c>
      <c r="C74" s="78" t="s">
        <v>374</v>
      </c>
      <c r="D74" s="78" t="s">
        <v>156</v>
      </c>
      <c r="E74" s="66">
        <f>((D90+D89)*-1)/(SUM(D81:D90)*-1)</f>
        <v>0.10144927536231885</v>
      </c>
      <c r="H74" s="13" t="s">
        <v>180</v>
      </c>
    </row>
    <row r="75" spans="2:10" ht="15.75">
      <c r="B75" s="82" t="s">
        <v>151</v>
      </c>
      <c r="C75" s="78" t="s">
        <v>380</v>
      </c>
      <c r="D75" s="78" t="s">
        <v>170</v>
      </c>
      <c r="E75" s="66">
        <f>(C89+C90)/SUM(C81:C90)</f>
        <v>5.2083333333333336E-2</v>
      </c>
      <c r="H75" s="13" t="s">
        <v>177</v>
      </c>
    </row>
    <row r="76" spans="2:10">
      <c r="B76" s="82" t="s">
        <v>152</v>
      </c>
      <c r="C76" s="78" t="s">
        <v>182</v>
      </c>
      <c r="D76" s="78" t="s">
        <v>156</v>
      </c>
      <c r="E76" s="66">
        <f>((D89+D90)*-1+C89)/(-SUM(D81:D90)+SUM(C81:C90))</f>
        <v>8.11965811965812E-2</v>
      </c>
    </row>
    <row r="79" spans="2:10">
      <c r="I79" t="s">
        <v>167</v>
      </c>
      <c r="J79">
        <f>-SUM(D81:D82)+SUM(C81:C82)</f>
        <v>21</v>
      </c>
    </row>
    <row r="80" spans="2:10">
      <c r="B80" t="s">
        <v>62</v>
      </c>
      <c r="C80" t="s">
        <v>151</v>
      </c>
      <c r="D80" t="s">
        <v>150</v>
      </c>
      <c r="I80" t="s">
        <v>169</v>
      </c>
      <c r="J80">
        <f>-SUM(D83:D86)+SUM(C83:C86)</f>
        <v>126</v>
      </c>
    </row>
    <row r="81" spans="2:10">
      <c r="B81" t="s">
        <v>158</v>
      </c>
      <c r="C81">
        <v>2</v>
      </c>
      <c r="D81">
        <v>-4</v>
      </c>
      <c r="I81" t="s">
        <v>168</v>
      </c>
      <c r="J81">
        <f>-SUM(D87:D90)+SUM(C87:C90)</f>
        <v>87</v>
      </c>
    </row>
    <row r="82" spans="2:10">
      <c r="B82" t="s">
        <v>159</v>
      </c>
      <c r="C82">
        <v>5</v>
      </c>
      <c r="D82">
        <v>-10</v>
      </c>
    </row>
    <row r="83" spans="2:10">
      <c r="B83" t="s">
        <v>160</v>
      </c>
      <c r="C83">
        <v>6</v>
      </c>
      <c r="D83">
        <v>-12</v>
      </c>
    </row>
    <row r="84" spans="2:10">
      <c r="B84" t="s">
        <v>161</v>
      </c>
      <c r="C84">
        <v>10</v>
      </c>
      <c r="D84">
        <v>-20</v>
      </c>
    </row>
    <row r="85" spans="2:10">
      <c r="B85" t="s">
        <v>162</v>
      </c>
      <c r="C85">
        <v>17</v>
      </c>
      <c r="D85">
        <v>-17</v>
      </c>
    </row>
    <row r="86" spans="2:10">
      <c r="B86" t="s">
        <v>163</v>
      </c>
      <c r="C86">
        <v>20</v>
      </c>
      <c r="D86">
        <v>-24</v>
      </c>
    </row>
    <row r="87" spans="2:10">
      <c r="B87" t="s">
        <v>164</v>
      </c>
      <c r="C87">
        <v>14</v>
      </c>
      <c r="D87">
        <v>-26</v>
      </c>
    </row>
    <row r="88" spans="2:10">
      <c r="B88" t="s">
        <v>165</v>
      </c>
      <c r="C88">
        <v>17</v>
      </c>
      <c r="D88">
        <v>-11</v>
      </c>
    </row>
    <row r="89" spans="2:10">
      <c r="B89" t="s">
        <v>166</v>
      </c>
      <c r="C89">
        <v>5</v>
      </c>
      <c r="D89">
        <v>-13</v>
      </c>
    </row>
    <row r="90" spans="2:10">
      <c r="B90" t="s">
        <v>175</v>
      </c>
      <c r="D90">
        <v>-1</v>
      </c>
    </row>
    <row r="94" spans="2:10" ht="6" customHeight="1"/>
    <row r="95" spans="2:10" ht="15.75">
      <c r="B95" s="360" t="s">
        <v>181</v>
      </c>
    </row>
    <row r="96" spans="2:10" ht="6" customHeight="1"/>
    <row r="97" spans="2:9" ht="30">
      <c r="B97" s="78"/>
      <c r="C97" s="518" t="s">
        <v>149</v>
      </c>
      <c r="D97" s="518" t="s">
        <v>154</v>
      </c>
      <c r="E97" s="519" t="s">
        <v>157</v>
      </c>
    </row>
    <row r="98" spans="2:9">
      <c r="B98" s="82" t="s">
        <v>150</v>
      </c>
      <c r="C98" s="78" t="s">
        <v>376</v>
      </c>
      <c r="D98" s="78" t="s">
        <v>170</v>
      </c>
      <c r="E98" s="66">
        <f>((D113+D112)*-1)/(SUM(D104:D113)*-1)</f>
        <v>8.8757396449704137E-2</v>
      </c>
    </row>
    <row r="99" spans="2:9" ht="15.75">
      <c r="B99" s="82" t="s">
        <v>151</v>
      </c>
      <c r="C99" s="78" t="s">
        <v>377</v>
      </c>
      <c r="D99" s="78" t="s">
        <v>378</v>
      </c>
      <c r="E99" s="66">
        <f>(C112+C113)/SUM(C104:C113)</f>
        <v>3.5714285714285712E-2</v>
      </c>
      <c r="H99" s="13" t="s">
        <v>184</v>
      </c>
    </row>
    <row r="100" spans="2:9" ht="15.75">
      <c r="B100" s="82" t="s">
        <v>152</v>
      </c>
      <c r="C100" s="78" t="s">
        <v>155</v>
      </c>
      <c r="D100" s="78" t="s">
        <v>170</v>
      </c>
      <c r="E100" s="66">
        <f>((D112+D113)*-1+C112)/(-SUM(D104:D113)+SUM(C104:C113))</f>
        <v>7.5555555555555556E-2</v>
      </c>
      <c r="H100" s="13" t="s">
        <v>177</v>
      </c>
    </row>
    <row r="103" spans="2:9">
      <c r="B103" t="s">
        <v>63</v>
      </c>
      <c r="C103" t="s">
        <v>151</v>
      </c>
      <c r="D103" t="s">
        <v>150</v>
      </c>
      <c r="H103" t="s">
        <v>167</v>
      </c>
      <c r="I103">
        <f>-SUM(D104:D105)+SUM(C104:C105)</f>
        <v>25</v>
      </c>
    </row>
    <row r="104" spans="2:9">
      <c r="B104" t="s">
        <v>158</v>
      </c>
      <c r="C104">
        <v>2</v>
      </c>
      <c r="D104">
        <v>-4</v>
      </c>
      <c r="H104" t="s">
        <v>169</v>
      </c>
      <c r="I104">
        <f>-SUM(D108:D109)+SUM(C108:C109)</f>
        <v>59</v>
      </c>
    </row>
    <row r="105" spans="2:9">
      <c r="B105" t="s">
        <v>159</v>
      </c>
      <c r="C105">
        <v>9</v>
      </c>
      <c r="D105">
        <v>-10</v>
      </c>
      <c r="H105" t="s">
        <v>168</v>
      </c>
      <c r="I105">
        <f>-SUM(D110:D113)+SUM(C110:C113)</f>
        <v>96</v>
      </c>
    </row>
    <row r="106" spans="2:9">
      <c r="B106" t="s">
        <v>160</v>
      </c>
      <c r="C106">
        <v>5</v>
      </c>
      <c r="D106">
        <v>-15</v>
      </c>
    </row>
    <row r="107" spans="2:9">
      <c r="B107" t="s">
        <v>161</v>
      </c>
      <c r="C107">
        <v>8</v>
      </c>
      <c r="D107">
        <v>-17</v>
      </c>
    </row>
    <row r="108" spans="2:9">
      <c r="B108" t="s">
        <v>162</v>
      </c>
      <c r="C108">
        <v>6</v>
      </c>
      <c r="D108">
        <v>-31</v>
      </c>
    </row>
    <row r="109" spans="2:9">
      <c r="B109" t="s">
        <v>163</v>
      </c>
      <c r="C109">
        <v>3</v>
      </c>
      <c r="D109">
        <v>-19</v>
      </c>
    </row>
    <row r="110" spans="2:9">
      <c r="B110" t="s">
        <v>164</v>
      </c>
      <c r="C110">
        <v>10</v>
      </c>
      <c r="D110">
        <v>-36</v>
      </c>
    </row>
    <row r="111" spans="2:9">
      <c r="B111" t="s">
        <v>165</v>
      </c>
      <c r="C111">
        <v>11</v>
      </c>
      <c r="D111">
        <v>-22</v>
      </c>
    </row>
    <row r="112" spans="2:9">
      <c r="B112" t="s">
        <v>166</v>
      </c>
      <c r="C112">
        <v>2</v>
      </c>
      <c r="D112">
        <v>-14</v>
      </c>
    </row>
    <row r="113" spans="2:10">
      <c r="B113" t="s">
        <v>175</v>
      </c>
      <c r="D113">
        <v>-1</v>
      </c>
    </row>
    <row r="118" spans="2:10" ht="7.5" customHeight="1"/>
    <row r="119" spans="2:10" ht="15.75">
      <c r="B119" s="360" t="s">
        <v>183</v>
      </c>
    </row>
    <row r="120" spans="2:10" ht="7.5" customHeight="1"/>
    <row r="121" spans="2:10" ht="30">
      <c r="B121" s="84"/>
      <c r="C121" s="518" t="s">
        <v>149</v>
      </c>
      <c r="D121" s="518" t="s">
        <v>154</v>
      </c>
      <c r="E121" s="519" t="s">
        <v>157</v>
      </c>
    </row>
    <row r="122" spans="2:10">
      <c r="B122" s="82" t="s">
        <v>150</v>
      </c>
      <c r="C122" s="84" t="s">
        <v>379</v>
      </c>
      <c r="D122" s="84" t="s">
        <v>155</v>
      </c>
      <c r="E122" s="66">
        <f>((D137+D138)*-1)/(SUM(D128:D138)*-1)</f>
        <v>0.1</v>
      </c>
    </row>
    <row r="123" spans="2:10" ht="15.75">
      <c r="B123" s="82" t="s">
        <v>151</v>
      </c>
      <c r="C123" s="84" t="s">
        <v>380</v>
      </c>
      <c r="D123" s="84" t="s">
        <v>171</v>
      </c>
      <c r="E123" s="66">
        <f>(C137+C138)/SUM(C128:C138)</f>
        <v>9.375E-2</v>
      </c>
      <c r="H123" s="13" t="s">
        <v>185</v>
      </c>
    </row>
    <row r="124" spans="2:10" ht="15.75">
      <c r="B124" s="82" t="s">
        <v>152</v>
      </c>
      <c r="C124" s="84" t="s">
        <v>153</v>
      </c>
      <c r="D124" s="84" t="s">
        <v>156</v>
      </c>
      <c r="E124" s="66">
        <f>((D137+D138)*-1+C137)/(-SUM(D128:D138)+SUM(C128:C138))</f>
        <v>9.8425196850393706E-2</v>
      </c>
      <c r="H124" s="13" t="s">
        <v>177</v>
      </c>
    </row>
    <row r="126" spans="2:10">
      <c r="I126" t="s">
        <v>167</v>
      </c>
      <c r="J126">
        <f>-SUM(D128:D130)+SUM(C128:C130)</f>
        <v>39</v>
      </c>
    </row>
    <row r="127" spans="2:10">
      <c r="B127" t="s">
        <v>64</v>
      </c>
      <c r="C127" t="s">
        <v>151</v>
      </c>
      <c r="D127" t="s">
        <v>150</v>
      </c>
      <c r="I127" t="s">
        <v>169</v>
      </c>
      <c r="J127">
        <f>-SUM(D131:D134)+SUM(C131:C134)</f>
        <v>113</v>
      </c>
    </row>
    <row r="128" spans="2:10">
      <c r="B128" t="s">
        <v>375</v>
      </c>
      <c r="C128">
        <v>1</v>
      </c>
      <c r="D128">
        <v>-1</v>
      </c>
      <c r="I128" t="s">
        <v>168</v>
      </c>
      <c r="J128">
        <f>-SUM(D135:D138)+SUM(C135:C138)</f>
        <v>102</v>
      </c>
    </row>
    <row r="129" spans="2:4">
      <c r="B129" t="s">
        <v>367</v>
      </c>
      <c r="C129">
        <v>4</v>
      </c>
      <c r="D129">
        <v>-8</v>
      </c>
    </row>
    <row r="130" spans="2:4">
      <c r="B130" t="s">
        <v>368</v>
      </c>
      <c r="C130">
        <v>3</v>
      </c>
      <c r="D130">
        <v>-22</v>
      </c>
    </row>
    <row r="131" spans="2:4">
      <c r="B131" t="s">
        <v>369</v>
      </c>
      <c r="C131">
        <v>5</v>
      </c>
      <c r="D131">
        <v>-20</v>
      </c>
    </row>
    <row r="132" spans="2:4">
      <c r="B132" t="s">
        <v>370</v>
      </c>
      <c r="C132">
        <v>4</v>
      </c>
      <c r="D132">
        <v>-23</v>
      </c>
    </row>
    <row r="133" spans="2:4">
      <c r="B133" t="s">
        <v>371</v>
      </c>
      <c r="C133">
        <v>7</v>
      </c>
      <c r="D133">
        <v>-18</v>
      </c>
    </row>
    <row r="134" spans="2:4">
      <c r="B134" t="s">
        <v>372</v>
      </c>
      <c r="C134">
        <v>9</v>
      </c>
      <c r="D134">
        <v>-27</v>
      </c>
    </row>
    <row r="135" spans="2:4">
      <c r="B135" t="s">
        <v>381</v>
      </c>
      <c r="C135">
        <v>15</v>
      </c>
      <c r="D135">
        <v>-29</v>
      </c>
    </row>
    <row r="136" spans="2:4">
      <c r="B136" t="s">
        <v>382</v>
      </c>
      <c r="C136">
        <v>10</v>
      </c>
      <c r="D136">
        <v>-23</v>
      </c>
    </row>
    <row r="137" spans="2:4">
      <c r="B137" t="s">
        <v>373</v>
      </c>
      <c r="C137">
        <v>6</v>
      </c>
      <c r="D137">
        <v>-18</v>
      </c>
    </row>
    <row r="138" spans="2:4">
      <c r="B138" t="s">
        <v>175</v>
      </c>
      <c r="D138">
        <v>-1</v>
      </c>
    </row>
  </sheetData>
  <pageMargins left="0.23622047244094491" right="0.23622047244094491" top="0.78740157480314965" bottom="0.74803149606299213" header="0.31496062992125984" footer="0.31496062992125984"/>
  <pageSetup paperSize="9" fitToHeight="0" orientation="landscape" horizontalDpi="4294967293" r:id="rId1"/>
  <headerFooter>
    <oddHeader>&amp;C&amp;"Comic Sans MS,Gras"&amp;10Chapitre I - Emploi - Effectif - Démographie - Parité femmes/hommes
3. Pyramide des âges</oddHeader>
    <oddFooter>&amp;C&amp;"-,Gras"&amp;12Base de Données Sociales 2023&amp;R&amp;P</oddFooter>
  </headerFooter>
  <rowBreaks count="5" manualBreakCount="5">
    <brk id="22" max="16383" man="1"/>
    <brk id="46" max="11" man="1"/>
    <brk id="69" max="11" man="1"/>
    <brk id="93" max="11" man="1"/>
    <brk id="117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F7B0-1EB4-4986-AD40-CE73177E0E6E}">
  <sheetPr codeName="Feuil6">
    <tabColor rgb="FF92D050"/>
    <pageSetUpPr fitToPage="1"/>
  </sheetPr>
  <dimension ref="A2:L53"/>
  <sheetViews>
    <sheetView showGridLines="0" view="pageLayout" topLeftCell="A28" zoomScaleNormal="100" workbookViewId="0">
      <selection activeCell="C38" sqref="C38:D45"/>
    </sheetView>
  </sheetViews>
  <sheetFormatPr baseColWidth="10" defaultRowHeight="15"/>
  <cols>
    <col min="3" max="3" width="12.7109375" customWidth="1"/>
    <col min="4" max="4" width="17.140625" customWidth="1"/>
    <col min="5" max="5" width="12.85546875" customWidth="1"/>
    <col min="6" max="6" width="13" bestFit="1" customWidth="1"/>
    <col min="7" max="7" width="19.42578125" customWidth="1"/>
    <col min="11" max="11" width="22.42578125" customWidth="1"/>
  </cols>
  <sheetData>
    <row r="2" spans="1:10" ht="18.75">
      <c r="A2" s="90" t="s">
        <v>186</v>
      </c>
    </row>
    <row r="4" spans="1:10">
      <c r="D4" s="86"/>
      <c r="E4" s="87" t="s">
        <v>187</v>
      </c>
      <c r="F4" s="87" t="s">
        <v>188</v>
      </c>
      <c r="G4" s="87" t="s">
        <v>189</v>
      </c>
      <c r="H4" s="87" t="s">
        <v>190</v>
      </c>
      <c r="I4" s="88" t="s">
        <v>10</v>
      </c>
    </row>
    <row r="5" spans="1:10">
      <c r="D5" s="87" t="s">
        <v>31</v>
      </c>
      <c r="E5" s="520">
        <v>1</v>
      </c>
      <c r="F5" s="520">
        <v>1</v>
      </c>
      <c r="G5" s="520"/>
      <c r="H5" s="520">
        <v>1</v>
      </c>
      <c r="I5" s="93">
        <f>SUM(E5:H5)</f>
        <v>3</v>
      </c>
    </row>
    <row r="6" spans="1:10">
      <c r="D6" s="87" t="s">
        <v>29</v>
      </c>
      <c r="E6" s="520">
        <v>4</v>
      </c>
      <c r="F6" s="520">
        <v>1</v>
      </c>
      <c r="G6" s="520"/>
      <c r="H6" s="520">
        <v>1</v>
      </c>
      <c r="I6" s="93">
        <f t="shared" ref="I6:I12" si="0">SUM(E6:H6)</f>
        <v>6</v>
      </c>
    </row>
    <row r="7" spans="1:10">
      <c r="D7" s="87" t="s">
        <v>30</v>
      </c>
      <c r="E7" s="520">
        <v>1</v>
      </c>
      <c r="F7" s="520"/>
      <c r="G7" s="520"/>
      <c r="H7" s="520">
        <v>1</v>
      </c>
      <c r="I7" s="93">
        <f t="shared" si="0"/>
        <v>2</v>
      </c>
    </row>
    <row r="8" spans="1:10">
      <c r="D8" s="528" t="s">
        <v>5</v>
      </c>
      <c r="E8" s="454">
        <f>SUM(E5:E7)</f>
        <v>6</v>
      </c>
      <c r="F8" s="454">
        <f t="shared" ref="F8" si="1">SUM(F5:F7)</f>
        <v>2</v>
      </c>
      <c r="G8" s="454">
        <f>SUM(G5:G7)</f>
        <v>0</v>
      </c>
      <c r="H8" s="454">
        <f>SUM(H5:H7)</f>
        <v>3</v>
      </c>
      <c r="I8" s="93">
        <f t="shared" si="0"/>
        <v>11</v>
      </c>
    </row>
    <row r="9" spans="1:10">
      <c r="D9" s="87" t="s">
        <v>106</v>
      </c>
      <c r="E9" s="520">
        <v>15</v>
      </c>
      <c r="F9" s="520"/>
      <c r="G9" s="520"/>
      <c r="H9" s="520">
        <v>1</v>
      </c>
      <c r="I9" s="93">
        <f t="shared" si="0"/>
        <v>16</v>
      </c>
    </row>
    <row r="10" spans="1:10">
      <c r="D10" s="87" t="s">
        <v>27</v>
      </c>
      <c r="E10" s="520"/>
      <c r="F10" s="520"/>
      <c r="G10" s="520"/>
      <c r="H10" s="520">
        <v>7</v>
      </c>
      <c r="I10" s="93">
        <f t="shared" si="0"/>
        <v>7</v>
      </c>
      <c r="J10" t="s">
        <v>645</v>
      </c>
    </row>
    <row r="11" spans="1:10">
      <c r="D11" s="87" t="s">
        <v>110</v>
      </c>
      <c r="E11" s="520">
        <v>1</v>
      </c>
      <c r="F11" s="520"/>
      <c r="G11" s="520"/>
      <c r="H11" s="520">
        <v>1</v>
      </c>
      <c r="I11" s="93">
        <f t="shared" si="0"/>
        <v>2</v>
      </c>
    </row>
    <row r="12" spans="1:10">
      <c r="D12" s="528" t="s">
        <v>4</v>
      </c>
      <c r="E12" s="454">
        <f>SUM(E9:E11)</f>
        <v>16</v>
      </c>
      <c r="F12" s="454">
        <f t="shared" ref="F12" si="2">SUM(F9:F11)</f>
        <v>0</v>
      </c>
      <c r="G12" s="454">
        <f>SUM(G9:G11)</f>
        <v>0</v>
      </c>
      <c r="H12" s="454">
        <f>SUM(H9:H11)</f>
        <v>9</v>
      </c>
      <c r="I12" s="93">
        <f t="shared" si="0"/>
        <v>25</v>
      </c>
    </row>
    <row r="13" spans="1:10">
      <c r="D13" s="88" t="s">
        <v>9</v>
      </c>
      <c r="E13" s="93">
        <f>SUM(E12,E8)</f>
        <v>22</v>
      </c>
      <c r="F13" s="93">
        <f t="shared" ref="F13:I13" si="3">SUM(F12,F8)</f>
        <v>2</v>
      </c>
      <c r="G13" s="93">
        <f t="shared" si="3"/>
        <v>0</v>
      </c>
      <c r="H13" s="93">
        <f t="shared" si="3"/>
        <v>12</v>
      </c>
      <c r="I13" s="93">
        <f t="shared" si="3"/>
        <v>36</v>
      </c>
    </row>
    <row r="16" spans="1:10" ht="15.75">
      <c r="A16" s="13" t="s">
        <v>644</v>
      </c>
      <c r="G16" s="13" t="s">
        <v>646</v>
      </c>
    </row>
    <row r="31" spans="1:1" ht="18.75">
      <c r="A31" s="413" t="s">
        <v>191</v>
      </c>
    </row>
    <row r="33" spans="1:12" ht="33.75" customHeight="1">
      <c r="A33" s="628" t="s">
        <v>632</v>
      </c>
      <c r="B33" s="628"/>
      <c r="C33" s="628"/>
      <c r="D33" s="628"/>
      <c r="E33" s="628"/>
      <c r="F33" s="628"/>
      <c r="G33" s="628"/>
      <c r="H33" s="628"/>
      <c r="I33" s="628"/>
      <c r="J33" s="628"/>
      <c r="K33" s="628"/>
      <c r="L33" s="628"/>
    </row>
    <row r="35" spans="1:12" ht="29.25" customHeight="1">
      <c r="A35" s="628" t="s">
        <v>383</v>
      </c>
      <c r="B35" s="628"/>
      <c r="C35" s="628"/>
      <c r="D35" s="628"/>
      <c r="E35" s="628"/>
      <c r="F35" s="628"/>
      <c r="G35" s="628"/>
      <c r="H35" s="628"/>
      <c r="I35" s="628"/>
      <c r="J35" s="628"/>
      <c r="K35" s="628"/>
      <c r="L35" s="628"/>
    </row>
    <row r="37" spans="1:12" ht="15.75">
      <c r="C37" s="87" t="s">
        <v>24</v>
      </c>
      <c r="D37" s="87" t="s">
        <v>25</v>
      </c>
      <c r="E37" s="88" t="s">
        <v>10</v>
      </c>
      <c r="G37" s="13" t="s">
        <v>192</v>
      </c>
    </row>
    <row r="38" spans="1:12" ht="21.75" customHeight="1">
      <c r="A38" s="629" t="s">
        <v>62</v>
      </c>
      <c r="B38" s="92" t="s">
        <v>4</v>
      </c>
      <c r="C38" s="457">
        <v>25</v>
      </c>
      <c r="D38" s="457">
        <v>34</v>
      </c>
      <c r="E38" s="89">
        <f>C38+D38</f>
        <v>59</v>
      </c>
    </row>
    <row r="39" spans="1:12">
      <c r="A39" s="629"/>
      <c r="B39" s="92" t="s">
        <v>5</v>
      </c>
      <c r="C39" s="457">
        <v>20</v>
      </c>
      <c r="D39" s="457">
        <v>7</v>
      </c>
      <c r="E39" s="89">
        <f t="shared" ref="E39:E45" si="4">C39+D39</f>
        <v>27</v>
      </c>
    </row>
    <row r="40" spans="1:12" ht="45">
      <c r="A40" s="629"/>
      <c r="B40" s="92" t="s">
        <v>48</v>
      </c>
      <c r="C40" s="464">
        <f>16+16</f>
        <v>32</v>
      </c>
      <c r="D40" s="464">
        <f>15+16</f>
        <v>31</v>
      </c>
      <c r="E40" s="93">
        <f t="shared" si="4"/>
        <v>63</v>
      </c>
    </row>
    <row r="41" spans="1:12">
      <c r="A41" s="631" t="s">
        <v>97</v>
      </c>
      <c r="B41" s="631"/>
      <c r="C41" s="94">
        <f t="shared" ref="C41:D41" si="5">SUM(C38:C40)</f>
        <v>77</v>
      </c>
      <c r="D41" s="94">
        <f t="shared" si="5"/>
        <v>72</v>
      </c>
      <c r="E41" s="94">
        <f>SUM(E38:E40)</f>
        <v>149</v>
      </c>
    </row>
    <row r="42" spans="1:12">
      <c r="A42" s="87" t="s">
        <v>63</v>
      </c>
      <c r="B42" s="87" t="s">
        <v>5</v>
      </c>
      <c r="C42" s="457">
        <v>16</v>
      </c>
      <c r="D42" s="457">
        <v>9</v>
      </c>
      <c r="E42" s="89">
        <f t="shared" si="4"/>
        <v>25</v>
      </c>
    </row>
    <row r="43" spans="1:12">
      <c r="A43" s="631" t="s">
        <v>98</v>
      </c>
      <c r="B43" s="631"/>
      <c r="C43" s="94">
        <f>C42</f>
        <v>16</v>
      </c>
      <c r="D43" s="94">
        <f>D42</f>
        <v>9</v>
      </c>
      <c r="E43" s="94">
        <f t="shared" si="4"/>
        <v>25</v>
      </c>
    </row>
    <row r="44" spans="1:12">
      <c r="A44" s="87" t="s">
        <v>64</v>
      </c>
      <c r="B44" s="87" t="s">
        <v>5</v>
      </c>
      <c r="C44" s="457">
        <v>22</v>
      </c>
      <c r="D44" s="457">
        <v>6</v>
      </c>
      <c r="E44" s="89">
        <f t="shared" si="4"/>
        <v>28</v>
      </c>
    </row>
    <row r="45" spans="1:12">
      <c r="A45" s="631" t="s">
        <v>99</v>
      </c>
      <c r="B45" s="631"/>
      <c r="C45" s="94">
        <f>C44</f>
        <v>22</v>
      </c>
      <c r="D45" s="94">
        <f>D44</f>
        <v>6</v>
      </c>
      <c r="E45" s="94">
        <f t="shared" si="4"/>
        <v>28</v>
      </c>
    </row>
    <row r="46" spans="1:12">
      <c r="A46" s="630" t="s">
        <v>9</v>
      </c>
      <c r="B46" s="630"/>
      <c r="C46" s="89">
        <f t="shared" ref="C46:D46" si="6">SUM(C45,C43,C41)</f>
        <v>115</v>
      </c>
      <c r="D46" s="89">
        <f t="shared" si="6"/>
        <v>87</v>
      </c>
      <c r="E46" s="89">
        <f>SUM(E45,E43,E41)</f>
        <v>202</v>
      </c>
    </row>
    <row r="48" spans="1:12" ht="15.75">
      <c r="A48" s="13" t="s">
        <v>196</v>
      </c>
      <c r="H48" t="s">
        <v>24</v>
      </c>
      <c r="I48" t="s">
        <v>25</v>
      </c>
    </row>
    <row r="49" spans="1:9">
      <c r="G49" t="s">
        <v>193</v>
      </c>
      <c r="H49" s="29">
        <f>C39/$E$39</f>
        <v>0.7407407407407407</v>
      </c>
      <c r="I49" s="29">
        <f>D39/$E$39</f>
        <v>0.25925925925925924</v>
      </c>
    </row>
    <row r="50" spans="1:9">
      <c r="A50" t="s">
        <v>4</v>
      </c>
      <c r="B50">
        <f>E38</f>
        <v>59</v>
      </c>
      <c r="G50" t="s">
        <v>194</v>
      </c>
      <c r="H50" s="29">
        <f>C42/$E$42</f>
        <v>0.64</v>
      </c>
      <c r="I50" s="29">
        <f>D42/$E$42</f>
        <v>0.36</v>
      </c>
    </row>
    <row r="51" spans="1:9">
      <c r="A51" t="s">
        <v>5</v>
      </c>
      <c r="B51">
        <f>E39+E42+E44</f>
        <v>80</v>
      </c>
      <c r="G51" t="s">
        <v>195</v>
      </c>
      <c r="H51" s="29">
        <f>C44/$E$44</f>
        <v>0.7857142857142857</v>
      </c>
      <c r="I51" s="29">
        <f>D44/$E$44</f>
        <v>0.21428571428571427</v>
      </c>
    </row>
    <row r="52" spans="1:9">
      <c r="A52" t="s">
        <v>48</v>
      </c>
      <c r="B52">
        <f>E40</f>
        <v>63</v>
      </c>
      <c r="G52" t="s">
        <v>48</v>
      </c>
      <c r="H52" s="29">
        <f>C40/$E$40</f>
        <v>0.50793650793650791</v>
      </c>
      <c r="I52" s="29">
        <f>D40/$E$40</f>
        <v>0.49206349206349204</v>
      </c>
    </row>
    <row r="53" spans="1:9">
      <c r="G53" t="s">
        <v>4</v>
      </c>
      <c r="H53" s="29">
        <f>C38/$E$38</f>
        <v>0.42372881355932202</v>
      </c>
      <c r="I53" s="29">
        <f>D38/$E$38</f>
        <v>0.57627118644067798</v>
      </c>
    </row>
  </sheetData>
  <mergeCells count="7">
    <mergeCell ref="A33:L33"/>
    <mergeCell ref="A35:L35"/>
    <mergeCell ref="A38:A40"/>
    <mergeCell ref="A46:B46"/>
    <mergeCell ref="A45:B45"/>
    <mergeCell ref="A43:B43"/>
    <mergeCell ref="A41:B41"/>
  </mergeCells>
  <pageMargins left="0.23622047244094491" right="0.23622047244094491" top="0.82677165354330717" bottom="0.74803149606299213" header="0.31496062992125984" footer="0.31496062992125984"/>
  <pageSetup paperSize="9" scale="86" fitToHeight="0" orientation="landscape" horizontalDpi="4294967293" r:id="rId1"/>
  <headerFooter>
    <oddHeader>&amp;C&amp;"Comic Sans MS,Gras"&amp;10Chapitre I - Emploi - Effectif - Démographie - Parité femmes/hommes
4. Entrées</oddHeader>
    <oddFooter>&amp;C&amp;"-,Gras"&amp;12Base de Données Sociales 2023&amp;R&amp;P</oddFooter>
  </headerFooter>
  <rowBreaks count="1" manualBreakCount="1"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E5D3-774B-4733-ADCE-E6F157E58707}">
  <sheetPr codeName="Feuil7">
    <tabColor rgb="FF92D050"/>
    <pageSetUpPr fitToPage="1"/>
  </sheetPr>
  <dimension ref="A1:K96"/>
  <sheetViews>
    <sheetView showGridLines="0" view="pageLayout" topLeftCell="A46" zoomScaleNormal="100" workbookViewId="0">
      <selection activeCell="G29" sqref="G29"/>
    </sheetView>
  </sheetViews>
  <sheetFormatPr baseColWidth="10" defaultRowHeight="15"/>
  <cols>
    <col min="1" max="1" width="23" customWidth="1"/>
    <col min="2" max="2" width="16.7109375" bestFit="1" customWidth="1"/>
    <col min="3" max="10" width="13.140625" customWidth="1"/>
  </cols>
  <sheetData>
    <row r="1" spans="1:10" ht="18.75">
      <c r="A1" s="90" t="s">
        <v>197</v>
      </c>
    </row>
    <row r="3" spans="1:10">
      <c r="B3" s="96" t="s">
        <v>24</v>
      </c>
      <c r="C3" s="96"/>
      <c r="D3" s="96"/>
      <c r="E3" s="96"/>
      <c r="F3" s="96" t="s">
        <v>25</v>
      </c>
      <c r="G3" s="96"/>
      <c r="H3" s="96"/>
      <c r="I3" s="96"/>
      <c r="J3" s="632" t="s">
        <v>10</v>
      </c>
    </row>
    <row r="4" spans="1:10" ht="15.75" customHeight="1">
      <c r="B4" s="87" t="s">
        <v>62</v>
      </c>
      <c r="C4" s="87" t="s">
        <v>63</v>
      </c>
      <c r="D4" s="87" t="s">
        <v>64</v>
      </c>
      <c r="E4" s="88" t="s">
        <v>204</v>
      </c>
      <c r="F4" s="87" t="s">
        <v>62</v>
      </c>
      <c r="G4" s="87" t="s">
        <v>63</v>
      </c>
      <c r="H4" s="87" t="s">
        <v>64</v>
      </c>
      <c r="I4" s="88" t="s">
        <v>205</v>
      </c>
      <c r="J4" s="632"/>
    </row>
    <row r="5" spans="1:10">
      <c r="A5" s="87" t="s">
        <v>198</v>
      </c>
      <c r="B5" s="95"/>
      <c r="C5" s="95"/>
      <c r="D5" s="95">
        <v>1</v>
      </c>
      <c r="E5" s="89">
        <f t="shared" ref="E5:E14" si="0">SUM(B5:D5)</f>
        <v>1</v>
      </c>
      <c r="F5" s="95"/>
      <c r="G5" s="95"/>
      <c r="H5" s="95"/>
      <c r="I5" s="89">
        <f t="shared" ref="I5:I14" si="1">SUM(F5:H5)</f>
        <v>0</v>
      </c>
      <c r="J5" s="89">
        <f t="shared" ref="J5:J14" si="2">I5+E5</f>
        <v>1</v>
      </c>
    </row>
    <row r="6" spans="1:10">
      <c r="A6" s="87" t="s">
        <v>199</v>
      </c>
      <c r="B6" s="95">
        <v>2</v>
      </c>
      <c r="C6" s="95"/>
      <c r="D6" s="95"/>
      <c r="E6" s="89">
        <f t="shared" si="0"/>
        <v>2</v>
      </c>
      <c r="F6" s="95">
        <v>1</v>
      </c>
      <c r="G6" s="95"/>
      <c r="H6" s="95">
        <v>1</v>
      </c>
      <c r="I6" s="89">
        <f t="shared" si="1"/>
        <v>2</v>
      </c>
      <c r="J6" s="89">
        <f t="shared" si="2"/>
        <v>4</v>
      </c>
    </row>
    <row r="7" spans="1:10">
      <c r="A7" s="87" t="s">
        <v>188</v>
      </c>
      <c r="B7" s="95">
        <v>4</v>
      </c>
      <c r="C7" s="95">
        <v>2</v>
      </c>
      <c r="D7" s="95"/>
      <c r="E7" s="89">
        <f t="shared" si="0"/>
        <v>6</v>
      </c>
      <c r="F7" s="95">
        <v>4</v>
      </c>
      <c r="G7" s="95">
        <v>1</v>
      </c>
      <c r="H7" s="95">
        <v>1</v>
      </c>
      <c r="I7" s="89">
        <f t="shared" ref="I7" si="3">SUM(F7:H7)</f>
        <v>6</v>
      </c>
      <c r="J7" s="89">
        <f t="shared" ref="J7" si="4">I7+E7</f>
        <v>12</v>
      </c>
    </row>
    <row r="8" spans="1:10">
      <c r="A8" s="87" t="s">
        <v>21</v>
      </c>
      <c r="B8" s="95">
        <v>1</v>
      </c>
      <c r="C8" s="95">
        <v>2</v>
      </c>
      <c r="D8" s="95"/>
      <c r="E8" s="89">
        <f t="shared" si="0"/>
        <v>3</v>
      </c>
      <c r="F8" s="95">
        <v>1</v>
      </c>
      <c r="G8" s="95"/>
      <c r="H8" s="95">
        <v>1</v>
      </c>
      <c r="I8" s="89">
        <f t="shared" ref="I8" si="5">SUM(F8:H8)</f>
        <v>2</v>
      </c>
      <c r="J8" s="89">
        <f t="shared" ref="J8" si="6">I8+E8</f>
        <v>5</v>
      </c>
    </row>
    <row r="9" spans="1:10">
      <c r="A9" s="87" t="s">
        <v>200</v>
      </c>
      <c r="B9" s="95"/>
      <c r="C9" s="95">
        <v>1</v>
      </c>
      <c r="D9" s="95"/>
      <c r="E9" s="89">
        <f>SUM(B9:D9)</f>
        <v>1</v>
      </c>
      <c r="F9" s="95"/>
      <c r="G9" s="95"/>
      <c r="H9" s="95"/>
      <c r="I9" s="89">
        <f>SUM(F9:H9)</f>
        <v>0</v>
      </c>
      <c r="J9" s="89">
        <f>I9+E9</f>
        <v>1</v>
      </c>
    </row>
    <row r="10" spans="1:10">
      <c r="A10" s="87" t="s">
        <v>190</v>
      </c>
      <c r="B10" s="95">
        <v>6</v>
      </c>
      <c r="C10" s="95"/>
      <c r="D10" s="95">
        <v>1</v>
      </c>
      <c r="E10" s="89">
        <f t="shared" si="0"/>
        <v>7</v>
      </c>
      <c r="F10" s="95">
        <v>8</v>
      </c>
      <c r="G10" s="95"/>
      <c r="H10" s="95"/>
      <c r="I10" s="89">
        <f t="shared" si="1"/>
        <v>8</v>
      </c>
      <c r="J10" s="89">
        <f t="shared" si="2"/>
        <v>15</v>
      </c>
    </row>
    <row r="11" spans="1:10">
      <c r="A11" s="87" t="s">
        <v>640</v>
      </c>
      <c r="B11" s="95"/>
      <c r="C11" s="95">
        <v>1</v>
      </c>
      <c r="D11" s="95"/>
      <c r="E11" s="89">
        <f t="shared" si="0"/>
        <v>1</v>
      </c>
      <c r="F11" s="95">
        <v>1</v>
      </c>
      <c r="G11" s="95"/>
      <c r="H11" s="95"/>
      <c r="I11" s="89">
        <f t="shared" si="1"/>
        <v>1</v>
      </c>
      <c r="J11" s="89">
        <f t="shared" si="2"/>
        <v>2</v>
      </c>
    </row>
    <row r="12" spans="1:10">
      <c r="A12" s="87" t="s">
        <v>201</v>
      </c>
      <c r="B12" s="95"/>
      <c r="C12" s="95"/>
      <c r="D12" s="95"/>
      <c r="E12" s="89">
        <f t="shared" si="0"/>
        <v>0</v>
      </c>
      <c r="F12" s="95"/>
      <c r="G12" s="95"/>
      <c r="H12" s="95"/>
      <c r="I12" s="89">
        <f t="shared" si="1"/>
        <v>0</v>
      </c>
      <c r="J12" s="89">
        <f t="shared" si="2"/>
        <v>0</v>
      </c>
    </row>
    <row r="13" spans="1:10">
      <c r="A13" s="87" t="s">
        <v>202</v>
      </c>
      <c r="B13" s="95">
        <v>7</v>
      </c>
      <c r="C13" s="95"/>
      <c r="D13" s="95">
        <v>2</v>
      </c>
      <c r="E13" s="89">
        <f t="shared" si="0"/>
        <v>9</v>
      </c>
      <c r="F13" s="95">
        <v>13</v>
      </c>
      <c r="G13" s="95">
        <v>4</v>
      </c>
      <c r="H13" s="95"/>
      <c r="I13" s="89">
        <f t="shared" si="1"/>
        <v>17</v>
      </c>
      <c r="J13" s="89">
        <f t="shared" si="2"/>
        <v>26</v>
      </c>
    </row>
    <row r="14" spans="1:10">
      <c r="A14" s="87" t="s">
        <v>203</v>
      </c>
      <c r="B14" s="95"/>
      <c r="C14" s="95"/>
      <c r="D14" s="95"/>
      <c r="E14" s="89">
        <f t="shared" si="0"/>
        <v>0</v>
      </c>
      <c r="F14" s="95"/>
      <c r="G14" s="95"/>
      <c r="H14" s="95"/>
      <c r="I14" s="89">
        <f t="shared" si="1"/>
        <v>0</v>
      </c>
      <c r="J14" s="89">
        <f t="shared" si="2"/>
        <v>0</v>
      </c>
    </row>
    <row r="15" spans="1:10">
      <c r="A15" s="88" t="s">
        <v>10</v>
      </c>
      <c r="B15" s="89">
        <f t="shared" ref="B15:J15" si="7">SUM(B5:B14)</f>
        <v>20</v>
      </c>
      <c r="C15" s="89">
        <f t="shared" si="7"/>
        <v>6</v>
      </c>
      <c r="D15" s="89">
        <f t="shared" si="7"/>
        <v>4</v>
      </c>
      <c r="E15" s="89">
        <f t="shared" si="7"/>
        <v>30</v>
      </c>
      <c r="F15" s="89">
        <f t="shared" si="7"/>
        <v>28</v>
      </c>
      <c r="G15" s="89">
        <f t="shared" si="7"/>
        <v>5</v>
      </c>
      <c r="H15" s="89">
        <f t="shared" si="7"/>
        <v>3</v>
      </c>
      <c r="I15" s="89">
        <f t="shared" si="7"/>
        <v>36</v>
      </c>
      <c r="J15" s="89">
        <f t="shared" si="7"/>
        <v>66</v>
      </c>
    </row>
    <row r="17" spans="1:1" ht="15.75">
      <c r="A17" s="13" t="s">
        <v>206</v>
      </c>
    </row>
    <row r="33" spans="1:8" ht="15.75">
      <c r="A33" s="13" t="s">
        <v>207</v>
      </c>
    </row>
    <row r="34" spans="1:8" ht="15.75">
      <c r="A34" s="13"/>
    </row>
    <row r="35" spans="1:8">
      <c r="B35" s="96" t="s">
        <v>24</v>
      </c>
      <c r="C35" s="96"/>
      <c r="D35" s="96"/>
      <c r="E35" s="96" t="s">
        <v>25</v>
      </c>
      <c r="F35" s="96"/>
      <c r="G35" s="96"/>
      <c r="H35" s="632" t="s">
        <v>211</v>
      </c>
    </row>
    <row r="36" spans="1:8">
      <c r="B36" s="87" t="s">
        <v>210</v>
      </c>
      <c r="C36" s="87" t="s">
        <v>5</v>
      </c>
      <c r="D36" s="88" t="s">
        <v>204</v>
      </c>
      <c r="E36" s="87" t="s">
        <v>210</v>
      </c>
      <c r="F36" s="87" t="s">
        <v>5</v>
      </c>
      <c r="G36" s="88" t="s">
        <v>205</v>
      </c>
      <c r="H36" s="632"/>
    </row>
    <row r="37" spans="1:8">
      <c r="A37" s="87" t="s">
        <v>160</v>
      </c>
      <c r="B37" s="95">
        <v>1</v>
      </c>
      <c r="C37" s="95">
        <v>1</v>
      </c>
      <c r="D37" s="89">
        <f>SUM(B37:C37)</f>
        <v>2</v>
      </c>
      <c r="E37" s="95">
        <v>2</v>
      </c>
      <c r="F37" s="95">
        <v>1</v>
      </c>
      <c r="G37" s="89">
        <f>SUM(E37:F37)</f>
        <v>3</v>
      </c>
      <c r="H37" s="89">
        <f>G37+D37</f>
        <v>5</v>
      </c>
    </row>
    <row r="38" spans="1:8">
      <c r="A38" s="87" t="s">
        <v>161</v>
      </c>
      <c r="B38" s="95"/>
      <c r="C38" s="95">
        <v>3</v>
      </c>
      <c r="D38" s="89">
        <f t="shared" ref="D38:D45" si="8">SUM(B38:C38)</f>
        <v>3</v>
      </c>
      <c r="E38" s="95">
        <v>2</v>
      </c>
      <c r="F38" s="95">
        <v>3</v>
      </c>
      <c r="G38" s="89">
        <f t="shared" ref="G38:G45" si="9">SUM(E38:F38)</f>
        <v>5</v>
      </c>
      <c r="H38" s="89">
        <f t="shared" ref="H38:H45" si="10">G38+D38</f>
        <v>8</v>
      </c>
    </row>
    <row r="39" spans="1:8">
      <c r="A39" s="87" t="s">
        <v>162</v>
      </c>
      <c r="B39" s="95">
        <v>2</v>
      </c>
      <c r="C39" s="95">
        <v>4</v>
      </c>
      <c r="D39" s="89">
        <f t="shared" si="8"/>
        <v>6</v>
      </c>
      <c r="E39" s="95">
        <v>1</v>
      </c>
      <c r="F39" s="95"/>
      <c r="G39" s="89">
        <f t="shared" si="9"/>
        <v>1</v>
      </c>
      <c r="H39" s="89">
        <f t="shared" si="10"/>
        <v>7</v>
      </c>
    </row>
    <row r="40" spans="1:8">
      <c r="A40" s="87" t="s">
        <v>163</v>
      </c>
      <c r="B40" s="95">
        <v>1</v>
      </c>
      <c r="C40" s="95">
        <v>2</v>
      </c>
      <c r="D40" s="89">
        <f t="shared" si="8"/>
        <v>3</v>
      </c>
      <c r="E40" s="95">
        <v>1</v>
      </c>
      <c r="F40" s="95">
        <v>2</v>
      </c>
      <c r="G40" s="89">
        <f t="shared" si="9"/>
        <v>3</v>
      </c>
      <c r="H40" s="89">
        <f t="shared" si="10"/>
        <v>6</v>
      </c>
    </row>
    <row r="41" spans="1:8">
      <c r="A41" s="87" t="s">
        <v>164</v>
      </c>
      <c r="B41" s="95"/>
      <c r="C41" s="95">
        <v>2</v>
      </c>
      <c r="D41" s="89">
        <f t="shared" si="8"/>
        <v>2</v>
      </c>
      <c r="E41" s="95">
        <v>1</v>
      </c>
      <c r="F41" s="95">
        <v>2</v>
      </c>
      <c r="G41" s="89">
        <f t="shared" si="9"/>
        <v>3</v>
      </c>
      <c r="H41" s="89">
        <f t="shared" si="10"/>
        <v>5</v>
      </c>
    </row>
    <row r="42" spans="1:8">
      <c r="A42" s="87" t="s">
        <v>165</v>
      </c>
      <c r="B42" s="95">
        <v>2</v>
      </c>
      <c r="C42" s="95">
        <v>3</v>
      </c>
      <c r="D42" s="89">
        <f t="shared" si="8"/>
        <v>5</v>
      </c>
      <c r="E42" s="95">
        <v>3</v>
      </c>
      <c r="F42" s="95"/>
      <c r="G42" s="89">
        <f t="shared" si="9"/>
        <v>3</v>
      </c>
      <c r="H42" s="89">
        <f t="shared" si="10"/>
        <v>8</v>
      </c>
    </row>
    <row r="43" spans="1:8">
      <c r="A43" s="87" t="s">
        <v>166</v>
      </c>
      <c r="B43" s="95">
        <v>2</v>
      </c>
      <c r="C43" s="95">
        <v>4</v>
      </c>
      <c r="D43" s="89">
        <f t="shared" si="8"/>
        <v>6</v>
      </c>
      <c r="E43" s="95">
        <v>3</v>
      </c>
      <c r="F43" s="95">
        <v>3</v>
      </c>
      <c r="G43" s="89">
        <f t="shared" si="9"/>
        <v>6</v>
      </c>
      <c r="H43" s="89">
        <f t="shared" si="10"/>
        <v>12</v>
      </c>
    </row>
    <row r="44" spans="1:8">
      <c r="A44" s="87" t="s">
        <v>208</v>
      </c>
      <c r="B44" s="95">
        <v>2</v>
      </c>
      <c r="C44" s="95">
        <v>1</v>
      </c>
      <c r="D44" s="89">
        <f t="shared" si="8"/>
        <v>3</v>
      </c>
      <c r="E44" s="95">
        <v>11</v>
      </c>
      <c r="F44" s="95">
        <v>1</v>
      </c>
      <c r="G44" s="89">
        <f t="shared" si="9"/>
        <v>12</v>
      </c>
      <c r="H44" s="89">
        <f t="shared" si="10"/>
        <v>15</v>
      </c>
    </row>
    <row r="45" spans="1:8">
      <c r="A45" s="87" t="s">
        <v>209</v>
      </c>
      <c r="B45" s="95"/>
      <c r="C45" s="95"/>
      <c r="D45" s="89">
        <f t="shared" si="8"/>
        <v>0</v>
      </c>
      <c r="E45" s="95"/>
      <c r="F45" s="95"/>
      <c r="G45" s="89">
        <f t="shared" si="9"/>
        <v>0</v>
      </c>
      <c r="H45" s="89">
        <f t="shared" si="10"/>
        <v>0</v>
      </c>
    </row>
    <row r="46" spans="1:8">
      <c r="A46" s="88" t="s">
        <v>10</v>
      </c>
      <c r="B46" s="89">
        <f>SUM(B37:B45)</f>
        <v>10</v>
      </c>
      <c r="C46" s="89">
        <f t="shared" ref="C46:H46" si="11">SUM(C37:C45)</f>
        <v>20</v>
      </c>
      <c r="D46" s="89">
        <f t="shared" si="11"/>
        <v>30</v>
      </c>
      <c r="E46" s="89">
        <f t="shared" si="11"/>
        <v>24</v>
      </c>
      <c r="F46" s="89">
        <f t="shared" si="11"/>
        <v>12</v>
      </c>
      <c r="G46" s="89">
        <f t="shared" si="11"/>
        <v>36</v>
      </c>
      <c r="H46" s="89">
        <f t="shared" si="11"/>
        <v>66</v>
      </c>
    </row>
    <row r="48" spans="1:8" ht="15.75">
      <c r="A48" s="13" t="s">
        <v>212</v>
      </c>
    </row>
    <row r="49" spans="2:4">
      <c r="C49" t="s">
        <v>24</v>
      </c>
      <c r="D49" t="s">
        <v>25</v>
      </c>
    </row>
    <row r="50" spans="2:4">
      <c r="B50" t="s">
        <v>210</v>
      </c>
      <c r="C50">
        <f>B46</f>
        <v>10</v>
      </c>
      <c r="D50">
        <f>E46</f>
        <v>24</v>
      </c>
    </row>
    <row r="51" spans="2:4">
      <c r="B51" t="s">
        <v>5</v>
      </c>
      <c r="C51">
        <f>C46</f>
        <v>20</v>
      </c>
      <c r="D51">
        <f>F46</f>
        <v>12</v>
      </c>
    </row>
    <row r="64" spans="2:4" ht="7.5" customHeight="1"/>
    <row r="65" spans="1:11" ht="15.75">
      <c r="A65" s="13" t="s">
        <v>213</v>
      </c>
    </row>
    <row r="66" spans="1:11">
      <c r="C66" s="96" t="s">
        <v>24</v>
      </c>
      <c r="D66" s="96"/>
      <c r="E66" s="96"/>
      <c r="F66" s="96"/>
      <c r="G66" s="96" t="s">
        <v>25</v>
      </c>
      <c r="H66" s="96"/>
      <c r="I66" s="96"/>
      <c r="J66" s="96"/>
      <c r="K66" s="97" t="s">
        <v>10</v>
      </c>
    </row>
    <row r="67" spans="1:11">
      <c r="C67" s="87" t="s">
        <v>62</v>
      </c>
      <c r="D67" s="87" t="s">
        <v>63</v>
      </c>
      <c r="E67" s="87" t="s">
        <v>64</v>
      </c>
      <c r="F67" s="91" t="s">
        <v>204</v>
      </c>
      <c r="G67" s="87" t="s">
        <v>62</v>
      </c>
      <c r="H67" s="87" t="s">
        <v>63</v>
      </c>
      <c r="I67" s="87" t="s">
        <v>64</v>
      </c>
      <c r="J67" s="91" t="s">
        <v>205</v>
      </c>
      <c r="K67" s="97"/>
    </row>
    <row r="68" spans="1:11">
      <c r="A68" s="99"/>
      <c r="B68" s="87" t="s">
        <v>166</v>
      </c>
      <c r="C68" s="95">
        <v>2</v>
      </c>
      <c r="D68" s="95"/>
      <c r="E68" s="95"/>
      <c r="F68" s="89">
        <f>SUM(C68:E68)</f>
        <v>2</v>
      </c>
      <c r="G68" s="95">
        <v>2</v>
      </c>
      <c r="H68" s="95"/>
      <c r="I68" s="95"/>
      <c r="J68" s="89">
        <f>SUM(G68:I68)</f>
        <v>2</v>
      </c>
      <c r="K68" s="89">
        <f>J68+F68</f>
        <v>4</v>
      </c>
    </row>
    <row r="69" spans="1:11">
      <c r="A69" s="99" t="s">
        <v>4</v>
      </c>
      <c r="B69" s="87" t="s">
        <v>208</v>
      </c>
      <c r="C69" s="95">
        <v>2</v>
      </c>
      <c r="D69" s="95"/>
      <c r="E69" s="95"/>
      <c r="F69" s="89">
        <f t="shared" ref="F69:F70" si="12">SUM(C69:E69)</f>
        <v>2</v>
      </c>
      <c r="G69" s="95">
        <v>11</v>
      </c>
      <c r="H69" s="95"/>
      <c r="I69" s="95"/>
      <c r="J69" s="89">
        <f t="shared" ref="J69:J70" si="13">SUM(G69:I69)</f>
        <v>11</v>
      </c>
      <c r="K69" s="89">
        <f>J69+F69</f>
        <v>13</v>
      </c>
    </row>
    <row r="70" spans="1:11">
      <c r="A70" s="99"/>
      <c r="B70" s="87" t="s">
        <v>209</v>
      </c>
      <c r="C70" s="95"/>
      <c r="D70" s="95"/>
      <c r="E70" s="95"/>
      <c r="F70" s="89">
        <f t="shared" si="12"/>
        <v>0</v>
      </c>
      <c r="G70" s="95"/>
      <c r="H70" s="95"/>
      <c r="I70" s="95"/>
      <c r="J70" s="89">
        <f t="shared" si="13"/>
        <v>0</v>
      </c>
      <c r="K70" s="89">
        <f>J70+F70</f>
        <v>0</v>
      </c>
    </row>
    <row r="71" spans="1:11">
      <c r="A71" s="99"/>
      <c r="B71" s="91" t="s">
        <v>28</v>
      </c>
      <c r="C71" s="89">
        <f>SUM(C68:C70)</f>
        <v>4</v>
      </c>
      <c r="D71" s="89">
        <f t="shared" ref="D71:K71" si="14">SUM(D68:D70)</f>
        <v>0</v>
      </c>
      <c r="E71" s="89">
        <f t="shared" si="14"/>
        <v>0</v>
      </c>
      <c r="F71" s="89">
        <f t="shared" si="14"/>
        <v>4</v>
      </c>
      <c r="G71" s="89">
        <f t="shared" si="14"/>
        <v>13</v>
      </c>
      <c r="H71" s="89">
        <f t="shared" si="14"/>
        <v>0</v>
      </c>
      <c r="I71" s="89">
        <f t="shared" si="14"/>
        <v>0</v>
      </c>
      <c r="J71" s="89">
        <f t="shared" si="14"/>
        <v>13</v>
      </c>
      <c r="K71" s="89">
        <f t="shared" si="14"/>
        <v>17</v>
      </c>
    </row>
    <row r="72" spans="1:11">
      <c r="A72" s="99"/>
      <c r="B72" s="87" t="s">
        <v>166</v>
      </c>
      <c r="C72" s="95">
        <v>3</v>
      </c>
      <c r="D72" s="95"/>
      <c r="E72" s="95">
        <v>1</v>
      </c>
      <c r="F72" s="89">
        <f>SUM(C72:E72)</f>
        <v>4</v>
      </c>
      <c r="G72" s="95"/>
      <c r="H72" s="95">
        <v>3</v>
      </c>
      <c r="I72" s="95"/>
      <c r="J72" s="89">
        <f>SUM(G72:I72)</f>
        <v>3</v>
      </c>
      <c r="K72" s="89">
        <f>J72+F72</f>
        <v>7</v>
      </c>
    </row>
    <row r="73" spans="1:11">
      <c r="A73" s="99" t="s">
        <v>5</v>
      </c>
      <c r="B73" s="87" t="s">
        <v>208</v>
      </c>
      <c r="C73" s="95"/>
      <c r="D73" s="95"/>
      <c r="E73" s="95">
        <v>1</v>
      </c>
      <c r="F73" s="89">
        <f t="shared" ref="F73:F74" si="15">SUM(C73:E73)</f>
        <v>1</v>
      </c>
      <c r="G73" s="95"/>
      <c r="H73" s="95">
        <v>1</v>
      </c>
      <c r="I73" s="95"/>
      <c r="J73" s="89">
        <f t="shared" ref="J73:J74" si="16">SUM(G73:I73)</f>
        <v>1</v>
      </c>
      <c r="K73" s="89">
        <f>J73+F73</f>
        <v>2</v>
      </c>
    </row>
    <row r="74" spans="1:11">
      <c r="A74" s="99"/>
      <c r="B74" s="87" t="s">
        <v>209</v>
      </c>
      <c r="C74" s="95"/>
      <c r="D74" s="95"/>
      <c r="E74" s="95"/>
      <c r="F74" s="89">
        <f t="shared" si="15"/>
        <v>0</v>
      </c>
      <c r="G74" s="95"/>
      <c r="H74" s="95"/>
      <c r="I74" s="95"/>
      <c r="J74" s="89">
        <f t="shared" si="16"/>
        <v>0</v>
      </c>
      <c r="K74" s="89">
        <f>J74+F74</f>
        <v>0</v>
      </c>
    </row>
    <row r="75" spans="1:11">
      <c r="A75" s="99"/>
      <c r="B75" s="91" t="s">
        <v>32</v>
      </c>
      <c r="C75" s="89">
        <f>SUM(C72:C74)</f>
        <v>3</v>
      </c>
      <c r="D75" s="89">
        <f t="shared" ref="D75" si="17">SUM(D72:D74)</f>
        <v>0</v>
      </c>
      <c r="E75" s="89">
        <f t="shared" ref="E75" si="18">SUM(E72:E74)</f>
        <v>2</v>
      </c>
      <c r="F75" s="89">
        <f t="shared" ref="F75" si="19">SUM(F72:F74)</f>
        <v>5</v>
      </c>
      <c r="G75" s="89">
        <f t="shared" ref="G75" si="20">SUM(G72:G74)</f>
        <v>0</v>
      </c>
      <c r="H75" s="89">
        <f t="shared" ref="H75" si="21">SUM(H72:H74)</f>
        <v>4</v>
      </c>
      <c r="I75" s="89">
        <f t="shared" ref="I75" si="22">SUM(I72:I74)</f>
        <v>0</v>
      </c>
      <c r="J75" s="89">
        <f t="shared" ref="J75" si="23">SUM(J72:J74)</f>
        <v>4</v>
      </c>
      <c r="K75" s="89">
        <f t="shared" ref="K75" si="24">SUM(K72:K74)</f>
        <v>9</v>
      </c>
    </row>
    <row r="76" spans="1:11" ht="15" customHeight="1">
      <c r="A76" s="630" t="s">
        <v>10</v>
      </c>
      <c r="B76" s="630"/>
      <c r="C76" s="89">
        <f>C75+C71</f>
        <v>7</v>
      </c>
      <c r="D76" s="89">
        <f t="shared" ref="D76:K76" si="25">D75+D71</f>
        <v>0</v>
      </c>
      <c r="E76" s="89">
        <f t="shared" si="25"/>
        <v>2</v>
      </c>
      <c r="F76" s="89">
        <f t="shared" si="25"/>
        <v>9</v>
      </c>
      <c r="G76" s="89">
        <f t="shared" si="25"/>
        <v>13</v>
      </c>
      <c r="H76" s="89">
        <f t="shared" si="25"/>
        <v>4</v>
      </c>
      <c r="I76" s="89">
        <f t="shared" si="25"/>
        <v>0</v>
      </c>
      <c r="J76" s="89">
        <f t="shared" si="25"/>
        <v>17</v>
      </c>
      <c r="K76" s="89">
        <f t="shared" si="25"/>
        <v>26</v>
      </c>
    </row>
    <row r="78" spans="1:11" ht="15.75">
      <c r="A78" s="13" t="s">
        <v>214</v>
      </c>
      <c r="F78" s="13" t="s">
        <v>215</v>
      </c>
    </row>
    <row r="90" spans="1:6" ht="15.75">
      <c r="A90" s="13" t="s">
        <v>216</v>
      </c>
      <c r="F90" s="13" t="s">
        <v>221</v>
      </c>
    </row>
    <row r="92" spans="1:6">
      <c r="B92" t="s">
        <v>220</v>
      </c>
      <c r="C92" t="s">
        <v>25</v>
      </c>
    </row>
    <row r="93" spans="1:6">
      <c r="A93" t="s">
        <v>217</v>
      </c>
      <c r="B93">
        <f>C75</f>
        <v>3</v>
      </c>
      <c r="C93">
        <f>G75</f>
        <v>0</v>
      </c>
      <c r="D93">
        <f>SUM(B93:C93)</f>
        <v>3</v>
      </c>
    </row>
    <row r="94" spans="1:6">
      <c r="A94" t="s">
        <v>218</v>
      </c>
      <c r="B94">
        <f>D75</f>
        <v>0</v>
      </c>
      <c r="C94">
        <f>H75</f>
        <v>4</v>
      </c>
      <c r="D94">
        <f t="shared" ref="D94:D96" si="26">SUM(B94:C94)</f>
        <v>4</v>
      </c>
    </row>
    <row r="95" spans="1:6">
      <c r="A95" t="s">
        <v>219</v>
      </c>
      <c r="B95">
        <f>E75</f>
        <v>2</v>
      </c>
      <c r="C95">
        <f>I75</f>
        <v>0</v>
      </c>
      <c r="D95">
        <f t="shared" si="26"/>
        <v>2</v>
      </c>
    </row>
    <row r="96" spans="1:6">
      <c r="A96" t="s">
        <v>4</v>
      </c>
      <c r="B96">
        <f>C71</f>
        <v>4</v>
      </c>
      <c r="C96">
        <f>G71</f>
        <v>13</v>
      </c>
      <c r="D96">
        <f t="shared" si="26"/>
        <v>17</v>
      </c>
    </row>
  </sheetData>
  <mergeCells count="3">
    <mergeCell ref="J3:J4"/>
    <mergeCell ref="H35:H36"/>
    <mergeCell ref="A76:B76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horizontalDpi="4294967293" r:id="rId1"/>
  <headerFooter>
    <oddHeader>&amp;C&amp;"Comic Sans MS,Gras"&amp;10Chapitre I - Emploi - Effectif - Démographie - Parité femmes/hommes
5. Sorties</oddHeader>
    <oddFooter>&amp;C&amp;"-,Gras"&amp;12Base de Données Sociales 2023&amp;R&amp;P</oddFooter>
  </headerFooter>
  <rowBreaks count="2" manualBreakCount="2">
    <brk id="31" max="16383" man="1"/>
    <brk id="6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6 l l j V w 0 7 9 M y p A A A A + Q A A A B I A H A B D b 2 5 m a W c v U G F j a 2 F n Z S 5 4 b W w g o h g A K K A U A A A A A A A A A A A A A A A A A A A A A A A A A A A A h Y / N C o J A G E V f R W b v / E l R 8 j k u g l Y J U R B t x U Y d 0 j F m x s Z 3 a 9 E j 9 Q o J Z b V r e S / n w r m P 2 x 3 S o W 2 C q z R W d T p B D F M U S F 1 0 J 6 W r B P W u D B c o F b D N i 3 N e y W C E t Y 0 H q x J U O 3 e J C f H e Y x / h z l S E U 8 r I M d v s i 1 q 2 e a i 0 d b k u J P q s T v 9 X S M D h J S M 4 n j M 8 Y 0 u O W U Q Z k K m H T O k v w 0 d l T I H 8 l L D q G 9 c b K U o T r n d A p g j k f U M 8 A V B L A w Q U A A I A C A D q W W N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l l j V y i K R 7 g O A A A A E Q A A A B M A H A B G b 3 J t d W x h c y 9 T Z W N 0 a W 9 u M S 5 t I K I Y A C i g F A A A A A A A A A A A A A A A A A A A A A A A A A A A A C t O T S 7 J z M 9 T C I b Q h t Y A U E s B A i 0 A F A A C A A g A 6 l l j V w 0 7 9 M y p A A A A + Q A A A B I A A A A A A A A A A A A A A A A A A A A A A E N v b m Z p Z y 9 Q Y W N r Y W d l L n h t b F B L A Q I t A B Q A A g A I A O p Z Y 1 c P y u m r p A A A A O k A A A A T A A A A A A A A A A A A A A A A A P U A A A B b Q 2 9 u d G V u d F 9 U e X B l c 1 0 u e G 1 s U E s B A i 0 A F A A C A A g A 6 l l j V y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H 3 S Y L g H K F M q s 9 U X B 5 w s X M A A A A A A g A A A A A A A 2 Y A A M A A A A A Q A A A A Y b M V U m 5 v u 4 S G k 6 x y X V X p + Q A A A A A E g A A A o A A A A B A A A A D R l B 6 L B x + B 7 F x T I Q A 4 4 z p I U A A A A K f D C L N P 8 w M S 7 j Z y 9 z R u Z t 3 y o b H r b P Z A g l C S 4 s 0 2 V h 8 H R w Z d L d / W v u s k R 6 g y X G Z e g 0 P K 4 S y J b f x 8 C J q q 3 F d v B g h j V l z e E z s L M Z k J 7 Q e E N O T F F A A A A C + T 4 3 L O 7 8 o J + f D g g Q V z N D 4 D 8 i / u < / D a t a M a s h u p > 
</file>

<file path=customXml/itemProps1.xml><?xml version="1.0" encoding="utf-8"?>
<ds:datastoreItem xmlns:ds="http://schemas.openxmlformats.org/officeDocument/2006/customXml" ds:itemID="{97003CE4-0078-4F31-A892-A9DDEC5FA5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14</vt:i4>
      </vt:variant>
    </vt:vector>
  </HeadingPairs>
  <TitlesOfParts>
    <vt:vector size="40" baseType="lpstr">
      <vt:lpstr>Feuil1</vt:lpstr>
      <vt:lpstr>I-1 Plafond d'emploi</vt:lpstr>
      <vt:lpstr>I-2.1 Effectif Global</vt:lpstr>
      <vt:lpstr>I-2.2 Effectif BIATSS</vt:lpstr>
      <vt:lpstr>I-2.3 Effectif Ens</vt:lpstr>
      <vt:lpstr>I-2.4 Ct étu - stages</vt:lpstr>
      <vt:lpstr>I-3 Pyramides âges</vt:lpstr>
      <vt:lpstr>I-4 Entrées</vt:lpstr>
      <vt:lpstr>I-5 Sorties</vt:lpstr>
      <vt:lpstr>I-6 Parité</vt:lpstr>
      <vt:lpstr>II-1 Formations</vt:lpstr>
      <vt:lpstr>II-1.1 Formations détails</vt:lpstr>
      <vt:lpstr>II-2 Avancement BIATSS</vt:lpstr>
      <vt:lpstr>II-3 Avancement Enseignant</vt:lpstr>
      <vt:lpstr>III-1 Plafond d'emploi</vt:lpstr>
      <vt:lpstr>III-2 Masse salariale</vt:lpstr>
      <vt:lpstr>III-3 Rémunérations</vt:lpstr>
      <vt:lpstr>IV-1 Risques professionnels</vt:lpstr>
      <vt:lpstr>IV-2 Actions sociales</vt:lpstr>
      <vt:lpstr>IV-3 Congés raison de santé</vt:lpstr>
      <vt:lpstr>V-1 Temps de travail</vt:lpstr>
      <vt:lpstr>V-2 Télétravail</vt:lpstr>
      <vt:lpstr>V-3 Abs hors santé</vt:lpstr>
      <vt:lpstr>V-4 CET</vt:lpstr>
      <vt:lpstr>V-5 Handicap</vt:lpstr>
      <vt:lpstr>VI Moyens accordés aux OS</vt:lpstr>
      <vt:lpstr>'I-2.2 Effectif BIATSS'!Zone_d_impression</vt:lpstr>
      <vt:lpstr>'I-2.4 Ct étu - stages'!Zone_d_impression</vt:lpstr>
      <vt:lpstr>'I-3 Pyramides âges'!Zone_d_impression</vt:lpstr>
      <vt:lpstr>'I-5 Sorties'!Zone_d_impression</vt:lpstr>
      <vt:lpstr>'I-6 Parité'!Zone_d_impression</vt:lpstr>
      <vt:lpstr>'II-1 Formations'!Zone_d_impression</vt:lpstr>
      <vt:lpstr>'II-1.1 Formations détails'!Zone_d_impression</vt:lpstr>
      <vt:lpstr>'II-2 Avancement BIATSS'!Zone_d_impression</vt:lpstr>
      <vt:lpstr>'II-3 Avancement Enseignant'!Zone_d_impression</vt:lpstr>
      <vt:lpstr>'IV-2 Actions sociales'!Zone_d_impression</vt:lpstr>
      <vt:lpstr>'IV-3 Congés raison de santé'!Zone_d_impression</vt:lpstr>
      <vt:lpstr>'V-2 Télétravail'!Zone_d_impression</vt:lpstr>
      <vt:lpstr>'V-3 Abs hors santé'!Zone_d_impression</vt:lpstr>
      <vt:lpstr>'VI Moyens accordés aux OS'!Zone_d_impression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Fonmarty</dc:creator>
  <cp:lastModifiedBy>Administrateur</cp:lastModifiedBy>
  <cp:lastPrinted>2024-05-31T11:21:41Z</cp:lastPrinted>
  <dcterms:created xsi:type="dcterms:W3CDTF">2023-04-07T13:32:56Z</dcterms:created>
  <dcterms:modified xsi:type="dcterms:W3CDTF">2024-06-08T13:53:10Z</dcterms:modified>
</cp:coreProperties>
</file>