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17.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18.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9.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0.xml" ContentType="application/vnd.openxmlformats-officedocument.drawing+xml"/>
  <Override PartName="/xl/charts/chart28.xml" ContentType="application/vnd.openxmlformats-officedocument.drawingml.chart+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31.xml" ContentType="application/vnd.openxmlformats-officedocument.drawingml.chart+xml"/>
  <Override PartName="/xl/drawings/drawing2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28.xml" ContentType="application/vnd.openxmlformats-officedocument.drawing+xml"/>
  <Override PartName="/xl/charts/chart35.xml" ContentType="application/vnd.openxmlformats-officedocument.drawingml.chart+xml"/>
  <Override PartName="/xl/drawings/drawing29.xml" ContentType="application/vnd.openxmlformats-officedocument.drawing+xml"/>
  <Override PartName="/xl/drawings/drawing3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harts/chart40.xml" ContentType="application/vnd.openxmlformats-officedocument.drawingml.chart+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T:\divers\drh-ct\2022 - 2023 Comité Social de l'Administration\CSA 24.04\"/>
    </mc:Choice>
  </mc:AlternateContent>
  <xr:revisionPtr revIDLastSave="0" documentId="13_ncr:1_{AECA6447-E240-4C75-B87B-4261CE7105A7}" xr6:coauthVersionLast="36" xr6:coauthVersionMax="36" xr10:uidLastSave="{00000000-0000-0000-0000-000000000000}"/>
  <bookViews>
    <workbookView xWindow="0" yWindow="0" windowWidth="16605" windowHeight="7620" tabRatio="800" firstSheet="14" activeTab="24" xr2:uid="{00000000-000D-0000-FFFF-FFFF00000000}"/>
  </bookViews>
  <sheets>
    <sheet name="Sommaire" sheetId="19" r:id="rId1"/>
    <sheet name="PrésentationUJM" sheetId="44" state="hidden" r:id="rId2"/>
    <sheet name="Plafond" sheetId="60" r:id="rId3"/>
    <sheet name="EffectifGlobal" sheetId="53" r:id="rId4"/>
    <sheet name="EffectifEns" sheetId="1" r:id="rId5"/>
    <sheet name="Effectif_E_Comp" sheetId="3" r:id="rId6"/>
    <sheet name="Recrutement" sheetId="9" r:id="rId7"/>
    <sheet name="DépartsENS" sheetId="50" r:id="rId8"/>
    <sheet name="Redéploiement" sheetId="51" r:id="rId9"/>
    <sheet name="PromosEC" sheetId="7" r:id="rId10"/>
    <sheet name="Recherche" sheetId="67" r:id="rId11"/>
    <sheet name="EffectifBIATSS" sheetId="16" r:id="rId12"/>
    <sheet name="AffectionBIATSS" sheetId="65" r:id="rId13"/>
    <sheet name="CDI_ContratsEtudiants" sheetId="10" r:id="rId14"/>
    <sheet name="PromoBIATSS" sheetId="22" r:id="rId15"/>
    <sheet name="RecrutDéparts" sheetId="55" r:id="rId16"/>
    <sheet name="PyramideAges" sheetId="46" r:id="rId17"/>
    <sheet name="PyramideAgesENS" sheetId="73" r:id="rId18"/>
    <sheet name="PyramideAgesBIATSSTit" sheetId="74" r:id="rId19"/>
    <sheet name="PyramideAgesBIATSSCont" sheetId="23" r:id="rId20"/>
    <sheet name="AgeMoyenMédian" sheetId="75" r:id="rId21"/>
    <sheet name="Départs_Retraite" sheetId="14" r:id="rId22"/>
    <sheet name="Parité" sheetId="24" r:id="rId23"/>
    <sheet name="Parité (2)" sheetId="54" r:id="rId24"/>
    <sheet name="Rémunérations" sheetId="61" r:id="rId25"/>
    <sheet name="Formation" sheetId="28" r:id="rId26"/>
    <sheet name="Formation2" sheetId="64" r:id="rId27"/>
    <sheet name="Formation3" sheetId="62" r:id="rId28"/>
    <sheet name="TempsPartiel_télétravail" sheetId="56" r:id="rId29"/>
    <sheet name="CET" sheetId="40" r:id="rId30"/>
    <sheet name="CongésMadadie" sheetId="31" r:id="rId31"/>
    <sheet name="CongésMadadie (2)" sheetId="71" r:id="rId32"/>
    <sheet name="SaisonnalitéCOM" sheetId="57" r:id="rId33"/>
    <sheet name="CongésMat_Pat_Parent Grève" sheetId="33" r:id="rId34"/>
    <sheet name="MédecinPrévention" sheetId="72" r:id="rId35"/>
    <sheet name="Hygiène_Sécurité" sheetId="32" r:id="rId36"/>
    <sheet name="FormationHS" sheetId="30" r:id="rId37"/>
    <sheet name="DialogueSocial" sheetId="39" r:id="rId38"/>
    <sheet name="ActionSociale" sheetId="70" r:id="rId39"/>
    <sheet name="Handicap" sheetId="68" r:id="rId40"/>
    <sheet name="ActionCulturelle" sheetId="69" r:id="rId41"/>
    <sheet name="Glossaire" sheetId="38" r:id="rId42"/>
  </sheets>
  <definedNames>
    <definedName name="_xlnm._FilterDatabase" localSheetId="13" hidden="1">CDI_ContratsEtudiants!$E$89:$K$89</definedName>
    <definedName name="wp1302313" localSheetId="10">Recherche!#REF!</definedName>
    <definedName name="wp1302314" localSheetId="10">Recherche!#REF!</definedName>
    <definedName name="wp1302315" localSheetId="10">Recherche!#REF!</definedName>
    <definedName name="_xlnm.Print_Area" localSheetId="40">ActionCulturelle!$A$1:$N$54</definedName>
    <definedName name="_xlnm.Print_Area" localSheetId="38">ActionSociale!$A$1:$O$113</definedName>
    <definedName name="_xlnm.Print_Area" localSheetId="12">AffectionBIATSS!$A$1:$V$38</definedName>
    <definedName name="_xlnm.Print_Area" localSheetId="13">CDI_ContratsEtudiants!$A$1:$V$109</definedName>
    <definedName name="_xlnm.Print_Area" localSheetId="30">CongésMadadie!$A$1:$Q$47</definedName>
    <definedName name="_xlnm.Print_Area" localSheetId="31">'CongésMadadie (2)'!$A$1:$U$31</definedName>
    <definedName name="_xlnm.Print_Area" localSheetId="21">Départs_Retraite!$A$1:$O$45</definedName>
    <definedName name="_xlnm.Print_Area" localSheetId="37">DialogueSocial!$A$1:$S$43</definedName>
    <definedName name="_xlnm.Print_Area" localSheetId="5">Effectif_E_Comp!$A$1:$S$62</definedName>
    <definedName name="_xlnm.Print_Area" localSheetId="11">EffectifBIATSS!$A$1:$Q$46</definedName>
    <definedName name="_xlnm.Print_Area" localSheetId="4">EffectifEns!$A$1:$Y$48</definedName>
    <definedName name="_xlnm.Print_Area" localSheetId="25">Formation!$A$1:$T$39</definedName>
    <definedName name="_xlnm.Print_Area" localSheetId="26">Formation2!$A$1:$V$37</definedName>
    <definedName name="_xlnm.Print_Area" localSheetId="36">FormationHS!$A$1:$R$44</definedName>
    <definedName name="_xlnm.Print_Area" localSheetId="39">Handicap!$A$1:$N$82</definedName>
    <definedName name="_xlnm.Print_Area" localSheetId="35">Hygiène_Sécurité!$A$1:$Q$81</definedName>
    <definedName name="_xlnm.Print_Area" localSheetId="34">MédecinPrévention!$A$1:$Y$55</definedName>
    <definedName name="_xlnm.Print_Area" localSheetId="22">Parité!$A$1:$Q$81</definedName>
    <definedName name="_xlnm.Print_Area" localSheetId="23">'Parité (2)'!$A$1:$W$33</definedName>
    <definedName name="_xlnm.Print_Area" localSheetId="1">PrésentationUJM!$A$1:$P$75</definedName>
    <definedName name="_xlnm.Print_Area" localSheetId="14">PromoBIATSS!$A$1:$Y$44</definedName>
    <definedName name="_xlnm.Print_Area" localSheetId="9">PromosEC!$A$1:$AP$40</definedName>
    <definedName name="_xlnm.Print_Area" localSheetId="16">PyramideAges!$A$1:$Q$37</definedName>
    <definedName name="_xlnm.Print_Area" localSheetId="19">PyramideAgesBIATSSCont!$A$1:$P$48</definedName>
    <definedName name="_xlnm.Print_Area" localSheetId="15">RecrutDéparts!$A$1:$S$36</definedName>
    <definedName name="_xlnm.Print_Area" localSheetId="6">Recrutement!$A$1:$Z$40</definedName>
    <definedName name="_xlnm.Print_Area" localSheetId="8">Redéploiement!$A$1:$K$20</definedName>
    <definedName name="_xlnm.Print_Area" localSheetId="24">Rémunérations!$A$1:$M$169</definedName>
    <definedName name="_xlnm.Print_Area" localSheetId="28">TempsPartiel_télétravail!$A$1:$O$61</definedName>
  </definedNames>
  <calcPr calcId="191029"/>
</workbook>
</file>

<file path=xl/calcChain.xml><?xml version="1.0" encoding="utf-8"?>
<calcChain xmlns="http://schemas.openxmlformats.org/spreadsheetml/2006/main">
  <c r="E39" i="9" l="1"/>
  <c r="J19" i="7" l="1"/>
  <c r="L101" i="70" l="1"/>
  <c r="L100" i="70"/>
  <c r="N6" i="68" l="1"/>
  <c r="J68" i="61" l="1"/>
  <c r="J67" i="61"/>
  <c r="J66" i="61"/>
  <c r="J65" i="61"/>
  <c r="J64" i="61"/>
  <c r="H68" i="61"/>
  <c r="H67" i="61"/>
  <c r="H66" i="61"/>
  <c r="H65" i="61"/>
  <c r="H64" i="61"/>
  <c r="F68" i="61" l="1"/>
  <c r="F67" i="61"/>
  <c r="F66" i="61"/>
  <c r="F65" i="61"/>
  <c r="F64" i="61"/>
  <c r="D44" i="61" l="1"/>
  <c r="T21" i="30" l="1"/>
  <c r="T24" i="30"/>
  <c r="N30" i="30"/>
  <c r="N29" i="30"/>
  <c r="N25" i="30"/>
  <c r="N16" i="30"/>
  <c r="N12" i="30"/>
  <c r="N11" i="30"/>
  <c r="N10" i="30"/>
  <c r="N8" i="30"/>
  <c r="N7" i="30"/>
  <c r="Y37" i="22" l="1"/>
  <c r="S38" i="22"/>
  <c r="L38" i="22"/>
  <c r="K38" i="22"/>
  <c r="H38" i="22"/>
  <c r="G38" i="22"/>
  <c r="D38" i="22"/>
  <c r="C38" i="22"/>
  <c r="E40" i="22"/>
  <c r="AN10" i="7" l="1"/>
  <c r="AM10" i="7"/>
  <c r="AI9" i="7"/>
  <c r="AI10" i="7"/>
  <c r="AI11" i="7"/>
  <c r="AI12" i="7"/>
  <c r="AG12" i="7"/>
  <c r="AF12" i="7"/>
  <c r="AG11" i="7"/>
  <c r="AF11" i="7"/>
  <c r="AG10" i="7"/>
  <c r="AF10" i="7"/>
  <c r="AG9" i="7"/>
  <c r="AF9" i="7"/>
  <c r="AK12" i="7"/>
  <c r="AK11" i="7"/>
  <c r="G15" i="51"/>
  <c r="AK10" i="7" l="1"/>
  <c r="AK9" i="7"/>
  <c r="X11" i="9" l="1"/>
  <c r="W11" i="9"/>
  <c r="P31" i="9"/>
  <c r="Q16" i="9" l="1"/>
  <c r="Q15" i="9"/>
  <c r="Q14" i="9"/>
  <c r="Q13" i="9"/>
  <c r="Q12" i="9"/>
  <c r="Q11" i="9"/>
  <c r="E69" i="61" l="1"/>
  <c r="F69" i="61" s="1"/>
  <c r="G69" i="61"/>
  <c r="H69" i="61" s="1"/>
  <c r="N8" i="56" l="1"/>
  <c r="I101" i="40" l="1"/>
  <c r="I100" i="40"/>
  <c r="I99" i="40"/>
  <c r="I102" i="40" l="1"/>
  <c r="E69" i="67"/>
  <c r="D69" i="67"/>
  <c r="F63" i="67"/>
  <c r="F64" i="67"/>
  <c r="F65" i="67"/>
  <c r="F66" i="67"/>
  <c r="F67" i="67"/>
  <c r="F68" i="67"/>
  <c r="K56" i="67" l="1"/>
  <c r="J56" i="67"/>
  <c r="I56" i="67"/>
  <c r="J63" i="67"/>
  <c r="I63" i="67"/>
  <c r="K62" i="67"/>
  <c r="K61" i="67"/>
  <c r="O67" i="67"/>
  <c r="N67" i="67"/>
  <c r="P66" i="67"/>
  <c r="P65" i="67"/>
  <c r="P64" i="67"/>
  <c r="P63" i="67"/>
  <c r="P62" i="67"/>
  <c r="P61" i="67"/>
  <c r="K52" i="67"/>
  <c r="K63" i="67" l="1"/>
  <c r="P67" i="67"/>
  <c r="C30" i="67" l="1"/>
  <c r="B30" i="67"/>
  <c r="D19" i="67" l="1"/>
  <c r="G19" i="67"/>
  <c r="J19" i="67"/>
  <c r="M19" i="67"/>
  <c r="G23" i="67"/>
  <c r="K23" i="67" s="1"/>
  <c r="J23" i="67"/>
  <c r="D30" i="67"/>
  <c r="G30" i="67"/>
  <c r="J30" i="67"/>
  <c r="M30" i="67"/>
  <c r="E34" i="67"/>
  <c r="F34" i="67"/>
  <c r="G34" i="67"/>
  <c r="J34" i="67"/>
  <c r="F39" i="67"/>
  <c r="K39" i="67"/>
  <c r="P39" i="67"/>
  <c r="F40" i="67"/>
  <c r="K40" i="67"/>
  <c r="P40" i="67"/>
  <c r="F41" i="67"/>
  <c r="K41" i="67"/>
  <c r="P41" i="67"/>
  <c r="P42" i="67" s="1"/>
  <c r="D42" i="67"/>
  <c r="E42" i="67"/>
  <c r="I42" i="67"/>
  <c r="J42" i="67"/>
  <c r="N42" i="67"/>
  <c r="O42" i="67"/>
  <c r="N30" i="67" l="1"/>
  <c r="K34" i="67"/>
  <c r="F42" i="67"/>
  <c r="K42" i="67"/>
  <c r="N19" i="67"/>
  <c r="L112" i="70"/>
  <c r="K112" i="70"/>
  <c r="H102" i="70"/>
  <c r="G102" i="70"/>
  <c r="F102" i="70"/>
  <c r="E102" i="70"/>
  <c r="M112" i="70" l="1"/>
  <c r="L33" i="33"/>
  <c r="K33" i="33"/>
  <c r="J33" i="33"/>
  <c r="I33" i="33"/>
  <c r="G33" i="33"/>
  <c r="F33" i="33"/>
  <c r="E33" i="33"/>
  <c r="D33" i="33"/>
  <c r="K31" i="33"/>
  <c r="K29" i="33"/>
  <c r="K27" i="33"/>
  <c r="K25" i="33"/>
  <c r="F31" i="33"/>
  <c r="F29" i="33"/>
  <c r="F27" i="33"/>
  <c r="F25" i="33"/>
  <c r="F15" i="14" l="1"/>
  <c r="F16" i="14"/>
  <c r="F17" i="14"/>
  <c r="F18" i="14"/>
  <c r="D20" i="14"/>
  <c r="P15" i="57" l="1"/>
  <c r="H8" i="57"/>
  <c r="H9" i="57"/>
  <c r="H7" i="57"/>
  <c r="H29" i="57"/>
  <c r="H30" i="57"/>
  <c r="H28" i="57"/>
  <c r="O25" i="31" l="1"/>
  <c r="J11" i="16" l="1"/>
  <c r="K31" i="65" l="1"/>
  <c r="E32" i="55" l="1"/>
  <c r="C32" i="55"/>
  <c r="D32" i="55"/>
  <c r="W15" i="1" l="1"/>
  <c r="W14" i="1"/>
  <c r="J12" i="50" l="1"/>
  <c r="J11" i="50"/>
  <c r="I13" i="50"/>
  <c r="J8" i="50"/>
  <c r="B13" i="50"/>
  <c r="D13" i="50"/>
  <c r="E13" i="50"/>
  <c r="F13" i="50"/>
  <c r="G13" i="50"/>
  <c r="H13" i="50"/>
  <c r="C13" i="50"/>
  <c r="R29" i="55"/>
  <c r="F29" i="55"/>
  <c r="L28" i="55"/>
  <c r="F28" i="55"/>
  <c r="F27" i="55"/>
  <c r="F26" i="55"/>
  <c r="L25" i="55"/>
  <c r="F25" i="55"/>
  <c r="L24" i="55"/>
  <c r="F24" i="55"/>
  <c r="L23" i="55"/>
  <c r="F23" i="55"/>
  <c r="L22" i="55"/>
  <c r="F22" i="55"/>
  <c r="H42" i="65" l="1"/>
  <c r="J28" i="53"/>
  <c r="N16" i="16"/>
  <c r="N15" i="16"/>
  <c r="N14" i="16"/>
  <c r="AB51" i="3" l="1"/>
  <c r="AB52" i="3"/>
  <c r="AB53" i="3"/>
  <c r="AB54" i="3"/>
  <c r="AB55" i="3"/>
  <c r="AB56" i="3"/>
  <c r="AB57" i="3"/>
  <c r="AB58" i="3"/>
  <c r="AA59" i="3"/>
  <c r="H20" i="16" l="1"/>
  <c r="F20" i="16"/>
  <c r="H17" i="16"/>
  <c r="F17" i="16"/>
  <c r="H11" i="16"/>
  <c r="F11" i="16"/>
  <c r="D26" i="16"/>
  <c r="B26" i="16"/>
  <c r="D20" i="16"/>
  <c r="B20" i="16"/>
  <c r="D17" i="16"/>
  <c r="B17" i="16"/>
  <c r="D11" i="16"/>
  <c r="B11" i="16"/>
  <c r="F47" i="3" l="1"/>
  <c r="Q47" i="3" s="1"/>
  <c r="P47" i="3"/>
  <c r="M25" i="1" l="1"/>
  <c r="J25" i="1"/>
  <c r="M23" i="1"/>
  <c r="L23" i="1"/>
  <c r="J23" i="1"/>
  <c r="I23" i="1"/>
  <c r="M17" i="1"/>
  <c r="L17" i="1"/>
  <c r="J17" i="1"/>
  <c r="I17" i="1"/>
  <c r="I25" i="1" s="1"/>
  <c r="M14" i="1"/>
  <c r="L14" i="1"/>
  <c r="J14" i="1"/>
  <c r="I14" i="1"/>
  <c r="M11" i="1"/>
  <c r="L11" i="1"/>
  <c r="L25" i="1" s="1"/>
  <c r="J11" i="1"/>
  <c r="I11" i="1"/>
  <c r="M101" i="53"/>
  <c r="M100" i="53"/>
  <c r="M92" i="53"/>
  <c r="M93" i="53"/>
  <c r="M94" i="53"/>
  <c r="M95" i="53"/>
  <c r="M96" i="53"/>
  <c r="M97" i="53"/>
  <c r="M98" i="53"/>
  <c r="M99" i="53"/>
  <c r="M91" i="53"/>
  <c r="M49" i="53"/>
  <c r="M50" i="53"/>
  <c r="M51" i="53"/>
  <c r="M52" i="53"/>
  <c r="M53" i="53"/>
  <c r="M54" i="53"/>
  <c r="M55" i="53"/>
  <c r="M56" i="53"/>
  <c r="M48" i="53"/>
  <c r="L56" i="53"/>
  <c r="K56" i="53"/>
  <c r="L55" i="53"/>
  <c r="K55" i="53"/>
  <c r="L54" i="53"/>
  <c r="K54" i="53"/>
  <c r="L53" i="53"/>
  <c r="K53" i="53"/>
  <c r="L52" i="53"/>
  <c r="K52" i="53"/>
  <c r="L51" i="53"/>
  <c r="K51" i="53"/>
  <c r="L50" i="53"/>
  <c r="K50" i="53"/>
  <c r="L49" i="53"/>
  <c r="K49" i="53"/>
  <c r="L48" i="53"/>
  <c r="K48" i="53"/>
  <c r="F66" i="53"/>
  <c r="M58" i="53" s="1"/>
  <c r="M57" i="53" l="1"/>
  <c r="T25" i="30"/>
  <c r="T12" i="30"/>
  <c r="T11" i="30"/>
  <c r="T8" i="30"/>
  <c r="T7" i="30"/>
  <c r="P31" i="30"/>
  <c r="Q31" i="30"/>
  <c r="R31" i="30"/>
  <c r="S31" i="30"/>
  <c r="D33" i="64"/>
  <c r="D32" i="64"/>
  <c r="D31" i="64"/>
  <c r="R13" i="64" l="1"/>
  <c r="H13" i="64"/>
  <c r="Z35" i="28"/>
  <c r="R16" i="54" l="1"/>
  <c r="T16" i="54"/>
  <c r="L16" i="54"/>
  <c r="J16" i="54"/>
  <c r="B57" i="32" l="1"/>
  <c r="F132" i="61" l="1"/>
  <c r="E132" i="61"/>
  <c r="D132" i="61"/>
  <c r="C132" i="61"/>
  <c r="G33" i="61"/>
  <c r="G32" i="61"/>
  <c r="I42" i="22" l="1"/>
  <c r="M39" i="22"/>
  <c r="M40" i="22"/>
  <c r="M38" i="22"/>
  <c r="I112" i="70" l="1"/>
  <c r="H112" i="70"/>
  <c r="J112" i="70"/>
  <c r="G47" i="10" l="1"/>
  <c r="C14" i="1" l="1"/>
  <c r="C17" i="1"/>
  <c r="G23" i="1"/>
  <c r="F23" i="1"/>
  <c r="D23" i="1"/>
  <c r="C23" i="1"/>
  <c r="G17" i="1"/>
  <c r="F17" i="1"/>
  <c r="D17" i="1"/>
  <c r="F14" i="1"/>
  <c r="G11" i="1"/>
  <c r="F11" i="1"/>
  <c r="D11" i="1"/>
  <c r="C11" i="1"/>
  <c r="F42" i="1"/>
  <c r="F19" i="3"/>
  <c r="Q19" i="3" s="1"/>
  <c r="F18" i="3"/>
  <c r="Q18" i="3" s="1"/>
  <c r="F17" i="3"/>
  <c r="F16" i="3"/>
  <c r="F15" i="3"/>
  <c r="F14" i="3"/>
  <c r="F13" i="3"/>
  <c r="F12" i="3"/>
  <c r="F11" i="3"/>
  <c r="F10" i="3"/>
  <c r="F9" i="3"/>
  <c r="F8" i="3"/>
  <c r="F7" i="3"/>
  <c r="Q20" i="3"/>
  <c r="Q16" i="3"/>
  <c r="O21" i="3"/>
  <c r="N21" i="3"/>
  <c r="M21" i="3"/>
  <c r="L21" i="3"/>
  <c r="K21" i="3"/>
  <c r="J21" i="3"/>
  <c r="I21" i="3"/>
  <c r="H21" i="3"/>
  <c r="E21" i="3"/>
  <c r="D21" i="3"/>
  <c r="C21" i="3"/>
  <c r="B21" i="3"/>
  <c r="P27" i="3"/>
  <c r="P28" i="3"/>
  <c r="P29" i="3"/>
  <c r="P30" i="3"/>
  <c r="P31" i="3"/>
  <c r="P32" i="3"/>
  <c r="P33" i="3"/>
  <c r="P34" i="3"/>
  <c r="P35" i="3"/>
  <c r="P36" i="3"/>
  <c r="P39" i="3"/>
  <c r="Q39" i="3" s="1"/>
  <c r="P26" i="3"/>
  <c r="I40" i="3"/>
  <c r="J40" i="3"/>
  <c r="K40" i="3"/>
  <c r="L40" i="3"/>
  <c r="M40" i="3"/>
  <c r="N40" i="3"/>
  <c r="O40" i="3"/>
  <c r="H40" i="3"/>
  <c r="P40" i="3" l="1"/>
  <c r="F21" i="3"/>
  <c r="F25" i="1"/>
  <c r="G25" i="1"/>
  <c r="C25" i="1"/>
  <c r="D25" i="1"/>
  <c r="P21" i="3"/>
  <c r="Q7" i="3"/>
  <c r="Q15" i="3"/>
  <c r="Q17" i="3"/>
  <c r="Q11" i="3"/>
  <c r="Q12" i="3"/>
  <c r="Q13" i="3"/>
  <c r="Q9" i="3"/>
  <c r="Q10" i="3"/>
  <c r="Q14" i="3"/>
  <c r="Q8" i="3"/>
  <c r="F27" i="3"/>
  <c r="Q27" i="3" s="1"/>
  <c r="F28" i="3"/>
  <c r="Q28" i="3" s="1"/>
  <c r="F29" i="3"/>
  <c r="Q29" i="3" s="1"/>
  <c r="F30" i="3"/>
  <c r="Q30" i="3" s="1"/>
  <c r="F31" i="3"/>
  <c r="Q31" i="3" s="1"/>
  <c r="F32" i="3"/>
  <c r="Q32" i="3" s="1"/>
  <c r="F33" i="3"/>
  <c r="Q33" i="3" s="1"/>
  <c r="F34" i="3"/>
  <c r="Q34" i="3" s="1"/>
  <c r="F35" i="3"/>
  <c r="Q35" i="3" s="1"/>
  <c r="F36" i="3"/>
  <c r="Q36" i="3" s="1"/>
  <c r="F37" i="3"/>
  <c r="Q37" i="3" s="1"/>
  <c r="F38" i="3"/>
  <c r="Q38" i="3" s="1"/>
  <c r="F26" i="3"/>
  <c r="Q26" i="3" s="1"/>
  <c r="B40" i="3"/>
  <c r="C40" i="3"/>
  <c r="E40" i="3"/>
  <c r="D40" i="3"/>
  <c r="Q40" i="3" l="1"/>
  <c r="F40" i="3"/>
  <c r="Q21" i="3"/>
  <c r="F50" i="53"/>
  <c r="F51" i="53"/>
  <c r="F52" i="53"/>
  <c r="F49" i="53"/>
  <c r="E54" i="53"/>
  <c r="D54" i="53"/>
  <c r="F54" i="53" l="1"/>
  <c r="F60" i="53"/>
  <c r="E62" i="53" l="1"/>
  <c r="E64" i="53" s="1"/>
  <c r="D62" i="53"/>
  <c r="D64" i="53" s="1"/>
  <c r="F57" i="53"/>
  <c r="F58" i="53"/>
  <c r="F59" i="53"/>
  <c r="F56" i="53"/>
  <c r="F62" i="53" l="1"/>
  <c r="F64" i="53" s="1"/>
  <c r="Y20" i="9" l="1"/>
  <c r="Y19" i="9"/>
  <c r="X20" i="9"/>
  <c r="X19" i="9"/>
  <c r="W20" i="9"/>
  <c r="W19" i="9"/>
  <c r="W16" i="1"/>
  <c r="H58" i="56" l="1"/>
  <c r="I58" i="56"/>
  <c r="F62" i="67" l="1"/>
  <c r="F61" i="67"/>
  <c r="E56" i="67"/>
  <c r="D56" i="67"/>
  <c r="F52" i="67"/>
  <c r="F69" i="67" l="1"/>
  <c r="M8" i="67" l="1"/>
  <c r="Q22" i="16"/>
  <c r="R21" i="16" s="1"/>
  <c r="D43" i="16"/>
  <c r="B43" i="16"/>
  <c r="R20" i="16" l="1"/>
  <c r="R19" i="16"/>
  <c r="N33" i="33"/>
  <c r="O33" i="33"/>
  <c r="I43" i="39" l="1"/>
  <c r="H43" i="39"/>
  <c r="J6" i="50" l="1"/>
  <c r="J5" i="50"/>
  <c r="L32" i="55"/>
  <c r="K32" i="55"/>
  <c r="J32" i="55"/>
  <c r="I32" i="55"/>
  <c r="J13" i="50" l="1"/>
  <c r="L18" i="7"/>
  <c r="K18" i="7"/>
  <c r="K17" i="7"/>
  <c r="L17" i="7"/>
  <c r="I15" i="51"/>
  <c r="Y11" i="9"/>
  <c r="J55" i="56" l="1"/>
  <c r="J56" i="56"/>
  <c r="J57" i="56"/>
  <c r="I89" i="40"/>
  <c r="I90" i="40"/>
  <c r="I88" i="40"/>
  <c r="G91" i="40"/>
  <c r="H91" i="40"/>
  <c r="D24" i="40"/>
  <c r="E24" i="40"/>
  <c r="F24" i="40"/>
  <c r="G24" i="40"/>
  <c r="C24" i="40"/>
  <c r="J58" i="56" l="1"/>
  <c r="I91" i="40"/>
  <c r="N37" i="56"/>
  <c r="I42" i="65" l="1"/>
  <c r="G42" i="65"/>
  <c r="F42" i="65"/>
  <c r="E42" i="65"/>
  <c r="D42" i="65"/>
  <c r="C42" i="65"/>
  <c r="J41" i="65"/>
  <c r="J40" i="65"/>
  <c r="J39" i="65"/>
  <c r="J38" i="65"/>
  <c r="J42" i="65" l="1"/>
  <c r="K39" i="65" s="1"/>
  <c r="K41" i="65" l="1"/>
  <c r="K38" i="65"/>
  <c r="K40" i="65"/>
  <c r="J34" i="16"/>
  <c r="L34" i="16"/>
  <c r="L78" i="53" l="1"/>
  <c r="K79" i="53" s="1"/>
  <c r="J72" i="53"/>
  <c r="J79" i="53" l="1"/>
  <c r="K72" i="53"/>
  <c r="L72" i="53" s="1"/>
  <c r="J73" i="53" s="1"/>
  <c r="K73" i="53" l="1"/>
  <c r="M42" i="1" l="1"/>
  <c r="L42" i="1"/>
  <c r="K42" i="1"/>
  <c r="J42" i="1"/>
  <c r="I42" i="1"/>
  <c r="P14" i="1" l="1"/>
  <c r="S14" i="1"/>
  <c r="J12" i="60" l="1"/>
  <c r="G111" i="70" l="1"/>
  <c r="G110" i="70"/>
  <c r="F112" i="70"/>
  <c r="E112" i="70"/>
  <c r="G112" i="70" l="1"/>
  <c r="G31" i="30"/>
  <c r="F31" i="30"/>
  <c r="E31" i="30"/>
  <c r="D31" i="30"/>
  <c r="H31" i="30" l="1"/>
  <c r="M112" i="40"/>
  <c r="L112" i="40"/>
  <c r="J112" i="40"/>
  <c r="I112" i="40"/>
  <c r="E112" i="40"/>
  <c r="N111" i="40"/>
  <c r="K111" i="40"/>
  <c r="F111" i="40"/>
  <c r="N110" i="40"/>
  <c r="K110" i="40"/>
  <c r="F110" i="40"/>
  <c r="N109" i="40"/>
  <c r="K109" i="40"/>
  <c r="D112" i="40"/>
  <c r="N102" i="40"/>
  <c r="M102" i="40"/>
  <c r="K102" i="40"/>
  <c r="J102" i="40"/>
  <c r="E102" i="40"/>
  <c r="O101" i="40"/>
  <c r="L101" i="40"/>
  <c r="F101" i="40"/>
  <c r="O100" i="40"/>
  <c r="L100" i="40"/>
  <c r="F100" i="40"/>
  <c r="O99" i="40"/>
  <c r="L99" i="40"/>
  <c r="D102" i="40"/>
  <c r="D78" i="40"/>
  <c r="C78" i="40"/>
  <c r="G77" i="40"/>
  <c r="F77" i="40"/>
  <c r="G76" i="40"/>
  <c r="F76" i="40"/>
  <c r="G75" i="40"/>
  <c r="F75" i="40"/>
  <c r="D65" i="40"/>
  <c r="C65" i="40"/>
  <c r="G64" i="40"/>
  <c r="F64" i="40"/>
  <c r="G63" i="40"/>
  <c r="F63" i="40"/>
  <c r="H63" i="40" s="1"/>
  <c r="G62" i="40"/>
  <c r="F62" i="40"/>
  <c r="N7" i="56"/>
  <c r="N9" i="56" s="1"/>
  <c r="L102" i="40" l="1"/>
  <c r="N112" i="40"/>
  <c r="K112" i="40"/>
  <c r="O102" i="40"/>
  <c r="F109" i="40"/>
  <c r="F112" i="40" s="1"/>
  <c r="F99" i="40"/>
  <c r="F102" i="40" s="1"/>
  <c r="H76" i="40"/>
  <c r="H75" i="40"/>
  <c r="H77" i="40"/>
  <c r="H64" i="40"/>
  <c r="H62" i="40"/>
  <c r="G65" i="40"/>
  <c r="F78" i="40"/>
  <c r="G78" i="40"/>
  <c r="F65" i="40"/>
  <c r="K15" i="62"/>
  <c r="K14" i="62"/>
  <c r="K13" i="62"/>
  <c r="H78" i="40" l="1"/>
  <c r="H65" i="40"/>
  <c r="R9" i="64"/>
  <c r="R10" i="64"/>
  <c r="R12" i="64"/>
  <c r="R16" i="64"/>
  <c r="R8" i="64"/>
  <c r="Z16" i="28"/>
  <c r="R18" i="64" l="1"/>
  <c r="F33" i="61"/>
  <c r="D34" i="61"/>
  <c r="D35" i="61" s="1"/>
  <c r="E34" i="61"/>
  <c r="G104" i="61" s="1"/>
  <c r="G107" i="61" s="1"/>
  <c r="C34" i="61"/>
  <c r="C35" i="61" s="1"/>
  <c r="C44" i="61" l="1"/>
  <c r="G34" i="61"/>
  <c r="E35" i="61"/>
  <c r="F34" i="61"/>
  <c r="M156" i="61"/>
  <c r="J156" i="61"/>
  <c r="K156" i="61"/>
  <c r="L155" i="61"/>
  <c r="L154" i="61"/>
  <c r="C156" i="61"/>
  <c r="D156" i="61"/>
  <c r="E155" i="61"/>
  <c r="F156" i="61"/>
  <c r="E154" i="61"/>
  <c r="E156" i="61" l="1"/>
  <c r="L156" i="61"/>
  <c r="K63" i="68" l="1"/>
  <c r="N55" i="67" l="1"/>
  <c r="O55" i="67"/>
  <c r="P54" i="67"/>
  <c r="P53" i="67"/>
  <c r="P52" i="67"/>
  <c r="K55" i="67"/>
  <c r="K54" i="67"/>
  <c r="K53" i="67"/>
  <c r="P55" i="67" l="1"/>
  <c r="S10" i="10" l="1"/>
  <c r="R10" i="10"/>
  <c r="Q10" i="10"/>
  <c r="P10" i="10"/>
  <c r="O10" i="10"/>
  <c r="N10" i="10"/>
  <c r="U9" i="10"/>
  <c r="T9" i="10"/>
  <c r="U8" i="10"/>
  <c r="T8" i="10"/>
  <c r="U7" i="10"/>
  <c r="T7" i="10"/>
  <c r="K9" i="10"/>
  <c r="J9" i="10"/>
  <c r="K8" i="10"/>
  <c r="J8" i="10"/>
  <c r="K7" i="10"/>
  <c r="J7" i="10"/>
  <c r="AD7" i="10"/>
  <c r="E10" i="10"/>
  <c r="F10" i="10"/>
  <c r="G10" i="10"/>
  <c r="H10" i="10"/>
  <c r="I10" i="10"/>
  <c r="D10" i="10"/>
  <c r="T10" i="10" l="1"/>
  <c r="U10" i="10"/>
  <c r="K10" i="10"/>
  <c r="J10" i="10"/>
  <c r="B25" i="50" l="1"/>
  <c r="C25" i="50"/>
  <c r="D25" i="50"/>
  <c r="E22" i="50"/>
  <c r="E23" i="50"/>
  <c r="E24" i="50"/>
  <c r="E21" i="50"/>
  <c r="E25" i="50" l="1"/>
  <c r="J39" i="9"/>
  <c r="H39" i="9"/>
  <c r="L19" i="7" l="1"/>
  <c r="AB48" i="3" l="1"/>
  <c r="Z59" i="3"/>
  <c r="Y59" i="3"/>
  <c r="AB49" i="3"/>
  <c r="R40" i="3"/>
  <c r="R21" i="3"/>
  <c r="L121" i="53" l="1"/>
  <c r="K122" i="53" s="1"/>
  <c r="F109" i="53"/>
  <c r="E105" i="53"/>
  <c r="D105" i="53"/>
  <c r="F103" i="53"/>
  <c r="F102" i="53"/>
  <c r="F101" i="53"/>
  <c r="F100" i="53"/>
  <c r="F99" i="53"/>
  <c r="E97" i="53"/>
  <c r="E107" i="53" s="1"/>
  <c r="D97" i="53"/>
  <c r="F95" i="53"/>
  <c r="F94" i="53"/>
  <c r="F93" i="53"/>
  <c r="F92" i="53"/>
  <c r="K115" i="53" l="1"/>
  <c r="J122" i="53"/>
  <c r="J115" i="53"/>
  <c r="F105" i="53"/>
  <c r="D107" i="53"/>
  <c r="F97" i="53"/>
  <c r="F107" i="53" s="1"/>
  <c r="L115" i="53" l="1"/>
  <c r="J116" i="53" s="1"/>
  <c r="K116" i="53" l="1"/>
  <c r="W35" i="22"/>
  <c r="X35" i="22"/>
  <c r="O24" i="31" l="1"/>
  <c r="H34" i="16" l="1"/>
  <c r="F34" i="16"/>
  <c r="H26" i="16"/>
  <c r="F26" i="16"/>
  <c r="F28" i="16" l="1"/>
  <c r="F36" i="16" s="1"/>
  <c r="H28" i="16"/>
  <c r="F32" i="55"/>
  <c r="D14" i="55"/>
  <c r="E14" i="55"/>
  <c r="C14" i="55"/>
  <c r="J14" i="55"/>
  <c r="K14" i="55"/>
  <c r="L14" i="55"/>
  <c r="I14" i="55"/>
  <c r="F14" i="55"/>
  <c r="H36" i="16" l="1"/>
  <c r="G42" i="1"/>
  <c r="E42" i="1"/>
  <c r="D42" i="1"/>
  <c r="C42" i="1"/>
  <c r="G44" i="1" l="1"/>
  <c r="F44" i="1"/>
  <c r="D44" i="1"/>
  <c r="C44" i="1"/>
  <c r="G51" i="40"/>
  <c r="G52" i="40"/>
  <c r="F52" i="40"/>
  <c r="O20" i="40"/>
  <c r="K8" i="64"/>
  <c r="K9" i="64"/>
  <c r="K10" i="64"/>
  <c r="K12" i="64"/>
  <c r="K13" i="64"/>
  <c r="U9" i="64"/>
  <c r="U10" i="64"/>
  <c r="U12" i="64"/>
  <c r="U13" i="64"/>
  <c r="U16" i="64"/>
  <c r="U8" i="64"/>
  <c r="D55" i="56"/>
  <c r="D56" i="56"/>
  <c r="D58" i="56" s="1"/>
  <c r="D57" i="56"/>
  <c r="B58" i="56"/>
  <c r="C58" i="56"/>
  <c r="R13" i="22"/>
  <c r="T12" i="22"/>
  <c r="R11" i="22"/>
  <c r="O35" i="22"/>
  <c r="Q11" i="22" s="1"/>
  <c r="O22" i="22"/>
  <c r="S10" i="22" s="1"/>
  <c r="R10" i="22"/>
  <c r="R8" i="22"/>
  <c r="R7" i="22"/>
  <c r="N101" i="70"/>
  <c r="N100" i="70"/>
  <c r="M102" i="70"/>
  <c r="L102" i="70"/>
  <c r="J97" i="61"/>
  <c r="J98" i="61"/>
  <c r="J99" i="61"/>
  <c r="J100" i="61"/>
  <c r="J96" i="61"/>
  <c r="I69" i="61"/>
  <c r="J69" i="61" s="1"/>
  <c r="AB33" i="7"/>
  <c r="AB34" i="7"/>
  <c r="AB32" i="7"/>
  <c r="AB31" i="7"/>
  <c r="AA33" i="7"/>
  <c r="AA34" i="7"/>
  <c r="AA32" i="7"/>
  <c r="AA31" i="7"/>
  <c r="Z33" i="7"/>
  <c r="Z34" i="7"/>
  <c r="Z35" i="7"/>
  <c r="Z32" i="7"/>
  <c r="Z31" i="7"/>
  <c r="F31" i="7"/>
  <c r="F32" i="7"/>
  <c r="F30" i="7"/>
  <c r="F29" i="7"/>
  <c r="E31" i="7"/>
  <c r="E32" i="7"/>
  <c r="E33" i="7"/>
  <c r="E30" i="7"/>
  <c r="E29" i="7"/>
  <c r="C17" i="9"/>
  <c r="F120" i="61"/>
  <c r="T17" i="64"/>
  <c r="S17" i="64"/>
  <c r="J17" i="64"/>
  <c r="I17" i="64"/>
  <c r="I18" i="64" s="1"/>
  <c r="K16" i="64"/>
  <c r="Y38" i="28"/>
  <c r="X38" i="28"/>
  <c r="W38" i="28"/>
  <c r="V39" i="28" s="1"/>
  <c r="V38" i="28"/>
  <c r="U38" i="28"/>
  <c r="T38" i="28"/>
  <c r="Z37" i="28"/>
  <c r="Z36" i="28"/>
  <c r="Z33" i="28"/>
  <c r="Z32" i="28"/>
  <c r="Z31" i="28"/>
  <c r="Z30" i="28"/>
  <c r="Z29" i="28"/>
  <c r="Z28" i="28"/>
  <c r="Y21" i="28"/>
  <c r="X21" i="28"/>
  <c r="W21" i="28"/>
  <c r="V22" i="28" s="1"/>
  <c r="V21" i="28"/>
  <c r="U21" i="28"/>
  <c r="T22" i="28" s="1"/>
  <c r="T21" i="28"/>
  <c r="Z20" i="28"/>
  <c r="Z19" i="28"/>
  <c r="Z15" i="28"/>
  <c r="Z14" i="28"/>
  <c r="Z13" i="28"/>
  <c r="Z12" i="28"/>
  <c r="Z11" i="28"/>
  <c r="R11" i="55"/>
  <c r="R12" i="55"/>
  <c r="R10" i="55"/>
  <c r="I32" i="65"/>
  <c r="H32" i="65"/>
  <c r="G32" i="65"/>
  <c r="F32" i="65"/>
  <c r="E32" i="65"/>
  <c r="D32" i="65"/>
  <c r="C32" i="65"/>
  <c r="J31" i="65"/>
  <c r="J30" i="65"/>
  <c r="J29" i="65"/>
  <c r="J28" i="65"/>
  <c r="D22" i="10"/>
  <c r="D23" i="10" s="1"/>
  <c r="E23" i="10"/>
  <c r="E24" i="10" s="1"/>
  <c r="E25" i="10" s="1"/>
  <c r="E26" i="10" s="1"/>
  <c r="F23" i="10"/>
  <c r="F24" i="10" s="1"/>
  <c r="F25" i="10" s="1"/>
  <c r="F26" i="10" s="1"/>
  <c r="N36" i="56"/>
  <c r="F19" i="14"/>
  <c r="F20" i="14" s="1"/>
  <c r="P32" i="55"/>
  <c r="Q32" i="55"/>
  <c r="O32" i="55"/>
  <c r="R25" i="55"/>
  <c r="R26" i="55"/>
  <c r="R27" i="55"/>
  <c r="R28" i="55"/>
  <c r="R30" i="55"/>
  <c r="R22" i="55"/>
  <c r="R23" i="55"/>
  <c r="I102" i="70"/>
  <c r="J102" i="70"/>
  <c r="M166" i="61"/>
  <c r="K166" i="61"/>
  <c r="J166" i="61"/>
  <c r="F166" i="61"/>
  <c r="D166" i="61"/>
  <c r="C166" i="61"/>
  <c r="L165" i="61"/>
  <c r="E165" i="61"/>
  <c r="L164" i="61"/>
  <c r="E164" i="61"/>
  <c r="S11" i="1"/>
  <c r="S42" i="1"/>
  <c r="P42" i="1"/>
  <c r="S23" i="1"/>
  <c r="P23" i="1"/>
  <c r="S17" i="1"/>
  <c r="P17" i="1"/>
  <c r="P11" i="1"/>
  <c r="I13" i="65"/>
  <c r="H13" i="65"/>
  <c r="G13" i="65"/>
  <c r="F13" i="65"/>
  <c r="E13" i="65"/>
  <c r="D13" i="65"/>
  <c r="C13" i="65"/>
  <c r="J12" i="65"/>
  <c r="J11" i="65"/>
  <c r="J10" i="65"/>
  <c r="J9" i="65"/>
  <c r="D34" i="16"/>
  <c r="B34" i="16"/>
  <c r="O11" i="1"/>
  <c r="P46" i="3"/>
  <c r="P48" i="3"/>
  <c r="P49" i="3"/>
  <c r="P50" i="3"/>
  <c r="P51" i="3"/>
  <c r="P52" i="3"/>
  <c r="P53" i="3"/>
  <c r="P54" i="3"/>
  <c r="P55" i="3"/>
  <c r="P56" i="3"/>
  <c r="P59" i="3"/>
  <c r="Q59" i="3" s="1"/>
  <c r="P45" i="3"/>
  <c r="R60" i="3"/>
  <c r="AD9" i="10"/>
  <c r="AD8" i="10"/>
  <c r="F40" i="14"/>
  <c r="F41" i="14" s="1"/>
  <c r="Q16" i="28"/>
  <c r="Q33" i="28"/>
  <c r="O42" i="1"/>
  <c r="L34" i="53"/>
  <c r="J35" i="53" s="1"/>
  <c r="O19" i="62"/>
  <c r="G23" i="62"/>
  <c r="V7" i="62"/>
  <c r="F22" i="53"/>
  <c r="S35" i="22"/>
  <c r="L17" i="16"/>
  <c r="G56" i="56"/>
  <c r="G57" i="56"/>
  <c r="G55" i="56"/>
  <c r="F58" i="56"/>
  <c r="L160" i="61"/>
  <c r="L159" i="61"/>
  <c r="F25" i="56"/>
  <c r="E25" i="56"/>
  <c r="D25" i="56"/>
  <c r="C25" i="56"/>
  <c r="B25" i="56"/>
  <c r="L71" i="10"/>
  <c r="P31" i="33"/>
  <c r="P29" i="33"/>
  <c r="P25" i="33"/>
  <c r="P27" i="33"/>
  <c r="Q33" i="33"/>
  <c r="E46" i="44"/>
  <c r="D46" i="44"/>
  <c r="E20" i="14"/>
  <c r="J7" i="50"/>
  <c r="D18" i="53"/>
  <c r="E18" i="53"/>
  <c r="F13" i="53"/>
  <c r="F14" i="53"/>
  <c r="K28" i="53" s="1"/>
  <c r="F15" i="53"/>
  <c r="F16" i="53"/>
  <c r="F12" i="53"/>
  <c r="D10" i="53"/>
  <c r="E10" i="53"/>
  <c r="F8" i="53"/>
  <c r="F7" i="53"/>
  <c r="F6" i="53"/>
  <c r="F5" i="53"/>
  <c r="I22" i="65"/>
  <c r="H22" i="65"/>
  <c r="G22" i="65"/>
  <c r="F22" i="65"/>
  <c r="E22" i="65"/>
  <c r="D22" i="65"/>
  <c r="C22" i="65"/>
  <c r="J21" i="65"/>
  <c r="J20" i="65"/>
  <c r="J19" i="65"/>
  <c r="J18" i="65"/>
  <c r="E9" i="64"/>
  <c r="E10" i="64"/>
  <c r="E12" i="64"/>
  <c r="E15" i="64"/>
  <c r="E16" i="64"/>
  <c r="AO14" i="7"/>
  <c r="AO10" i="7"/>
  <c r="G22" i="62"/>
  <c r="G21" i="62"/>
  <c r="O17" i="40"/>
  <c r="AG13" i="7"/>
  <c r="AB35" i="7" s="1"/>
  <c r="AF13" i="7"/>
  <c r="AA35" i="7" s="1"/>
  <c r="J20" i="50"/>
  <c r="O17" i="9"/>
  <c r="E58" i="56"/>
  <c r="N64" i="24"/>
  <c r="P14" i="55"/>
  <c r="Q14" i="55"/>
  <c r="O14" i="55"/>
  <c r="N91" i="40"/>
  <c r="F51" i="40"/>
  <c r="G50" i="40"/>
  <c r="F50" i="40"/>
  <c r="E41" i="14"/>
  <c r="D41" i="14"/>
  <c r="O34" i="22"/>
  <c r="O26" i="22"/>
  <c r="O24" i="22"/>
  <c r="O19" i="22"/>
  <c r="Q8" i="22" s="1"/>
  <c r="O18" i="22"/>
  <c r="O14" i="22"/>
  <c r="S8" i="22" s="1"/>
  <c r="O10" i="22"/>
  <c r="O11" i="22"/>
  <c r="Q7" i="22" s="1"/>
  <c r="O31" i="22"/>
  <c r="O16" i="22"/>
  <c r="O27" i="22"/>
  <c r="Q10" i="22" s="1"/>
  <c r="O30" i="22"/>
  <c r="S11" i="22" s="1"/>
  <c r="O15" i="22"/>
  <c r="O23" i="22"/>
  <c r="O6" i="22"/>
  <c r="S7" i="22" s="1"/>
  <c r="O8" i="22"/>
  <c r="O7" i="22"/>
  <c r="O32" i="22"/>
  <c r="K31" i="30"/>
  <c r="L31" i="30"/>
  <c r="M31" i="30"/>
  <c r="J31" i="30"/>
  <c r="E45" i="32"/>
  <c r="F45" i="32" s="1"/>
  <c r="O10" i="39"/>
  <c r="N10" i="39"/>
  <c r="J10" i="39"/>
  <c r="I10" i="39"/>
  <c r="P9" i="39"/>
  <c r="P10" i="39" s="1"/>
  <c r="K9" i="39"/>
  <c r="P8" i="39"/>
  <c r="K8" i="39"/>
  <c r="T31" i="30"/>
  <c r="W8" i="30" s="1"/>
  <c r="E44" i="32"/>
  <c r="F44" i="32"/>
  <c r="E43" i="32"/>
  <c r="F43" i="32"/>
  <c r="S18" i="71"/>
  <c r="R18" i="71"/>
  <c r="Q18" i="71"/>
  <c r="P18" i="71"/>
  <c r="U17" i="71"/>
  <c r="T17" i="71"/>
  <c r="U16" i="71"/>
  <c r="T16" i="71"/>
  <c r="S9" i="71"/>
  <c r="R9" i="71"/>
  <c r="Q9" i="71"/>
  <c r="P9" i="71"/>
  <c r="U8" i="71"/>
  <c r="T8" i="71"/>
  <c r="U7" i="71"/>
  <c r="T7" i="71"/>
  <c r="M91" i="40"/>
  <c r="K91" i="40"/>
  <c r="J91" i="40"/>
  <c r="E91" i="40"/>
  <c r="D91" i="40"/>
  <c r="O90" i="40"/>
  <c r="L90" i="40"/>
  <c r="F90" i="40"/>
  <c r="O89" i="40"/>
  <c r="L89" i="40"/>
  <c r="F89" i="40"/>
  <c r="O88" i="40"/>
  <c r="L88" i="40"/>
  <c r="F88" i="40"/>
  <c r="D53" i="40"/>
  <c r="C53" i="40"/>
  <c r="V8" i="62"/>
  <c r="K8" i="62"/>
  <c r="K7" i="62"/>
  <c r="V6" i="62"/>
  <c r="K6" i="62"/>
  <c r="Q17" i="64"/>
  <c r="P18" i="64" s="1"/>
  <c r="P17" i="64"/>
  <c r="N17" i="64"/>
  <c r="M17" i="64"/>
  <c r="G17" i="64"/>
  <c r="F17" i="64"/>
  <c r="D17" i="64"/>
  <c r="C17" i="64"/>
  <c r="O16" i="64"/>
  <c r="H16" i="64"/>
  <c r="O15" i="64"/>
  <c r="O12" i="64"/>
  <c r="H12" i="64"/>
  <c r="O10" i="64"/>
  <c r="H10" i="64"/>
  <c r="O9" i="64"/>
  <c r="H9" i="64"/>
  <c r="O8" i="64"/>
  <c r="H8" i="64"/>
  <c r="E8" i="64"/>
  <c r="P38" i="28"/>
  <c r="O39" i="28" s="1"/>
  <c r="O38" i="28"/>
  <c r="N38" i="28"/>
  <c r="M38" i="28"/>
  <c r="L38" i="28"/>
  <c r="K38" i="28"/>
  <c r="G38" i="28"/>
  <c r="F38" i="28"/>
  <c r="E38" i="28"/>
  <c r="D38" i="28"/>
  <c r="D39" i="28" s="1"/>
  <c r="C38" i="28"/>
  <c r="B38" i="28"/>
  <c r="B39" i="28" s="1"/>
  <c r="Q37" i="28"/>
  <c r="H37" i="28"/>
  <c r="Q36" i="28"/>
  <c r="H36" i="28"/>
  <c r="H35" i="28"/>
  <c r="H33" i="28"/>
  <c r="Q32" i="28"/>
  <c r="H32" i="28"/>
  <c r="Q31" i="28"/>
  <c r="H31" i="28"/>
  <c r="H39" i="28" s="1"/>
  <c r="Q30" i="28"/>
  <c r="Q39" i="28" s="1"/>
  <c r="H30" i="28"/>
  <c r="Q29" i="28"/>
  <c r="H29" i="28"/>
  <c r="Q28" i="28"/>
  <c r="H28" i="28"/>
  <c r="P21" i="28"/>
  <c r="O21" i="28"/>
  <c r="O22" i="28" s="1"/>
  <c r="N21" i="28"/>
  <c r="M21" i="28"/>
  <c r="M22" i="28" s="1"/>
  <c r="L21" i="28"/>
  <c r="K21" i="28"/>
  <c r="G21" i="28"/>
  <c r="F21" i="28"/>
  <c r="E21" i="28"/>
  <c r="D21" i="28"/>
  <c r="D22" i="28" s="1"/>
  <c r="C21" i="28"/>
  <c r="B21" i="28"/>
  <c r="Q20" i="28"/>
  <c r="H20" i="28"/>
  <c r="Q19" i="28"/>
  <c r="H19" i="28"/>
  <c r="Q18" i="28"/>
  <c r="H18" i="28"/>
  <c r="Q15" i="28"/>
  <c r="H15" i="28"/>
  <c r="Q14" i="28"/>
  <c r="H14" i="28"/>
  <c r="Q13" i="28"/>
  <c r="H13" i="28"/>
  <c r="Q12" i="28"/>
  <c r="H12" i="28"/>
  <c r="Q11" i="28"/>
  <c r="H11" i="28"/>
  <c r="M161" i="61"/>
  <c r="K161" i="61"/>
  <c r="J161" i="61"/>
  <c r="F161" i="61"/>
  <c r="D161" i="61"/>
  <c r="C161" i="61"/>
  <c r="E160" i="61"/>
  <c r="E159" i="61"/>
  <c r="E120" i="61"/>
  <c r="D120" i="61"/>
  <c r="C120" i="61"/>
  <c r="I17" i="61" s="1"/>
  <c r="I20" i="61" s="1"/>
  <c r="I101" i="61"/>
  <c r="J101" i="61" s="1"/>
  <c r="D13" i="61"/>
  <c r="R24" i="55"/>
  <c r="M43" i="22"/>
  <c r="I43" i="22"/>
  <c r="E43" i="22"/>
  <c r="O42" i="22"/>
  <c r="M42" i="22"/>
  <c r="E42" i="22"/>
  <c r="I39" i="22"/>
  <c r="I38" i="22" s="1"/>
  <c r="E39" i="22"/>
  <c r="X37" i="22"/>
  <c r="W37" i="22"/>
  <c r="T37" i="22"/>
  <c r="T38" i="22" s="1"/>
  <c r="S37" i="22"/>
  <c r="T35" i="22"/>
  <c r="G21" i="10"/>
  <c r="G20" i="10"/>
  <c r="G19" i="10"/>
  <c r="G18" i="10"/>
  <c r="G17" i="10"/>
  <c r="G16" i="10"/>
  <c r="G15" i="10"/>
  <c r="AC10" i="10"/>
  <c r="AB10" i="10"/>
  <c r="AA10" i="10"/>
  <c r="Z10" i="10"/>
  <c r="Y10" i="10"/>
  <c r="X10" i="10"/>
  <c r="AE9" i="10"/>
  <c r="AE8" i="10"/>
  <c r="AE7" i="10"/>
  <c r="L43" i="16"/>
  <c r="J43" i="16"/>
  <c r="L26" i="16"/>
  <c r="J26" i="16"/>
  <c r="L20" i="16"/>
  <c r="J20" i="16"/>
  <c r="J17" i="16"/>
  <c r="L11" i="16"/>
  <c r="L28" i="16" s="1"/>
  <c r="L36" i="16" s="1"/>
  <c r="F55" i="67"/>
  <c r="F54" i="67"/>
  <c r="F53" i="67"/>
  <c r="J12" i="67"/>
  <c r="G12" i="67"/>
  <c r="J8" i="67"/>
  <c r="G8" i="67"/>
  <c r="D8" i="67"/>
  <c r="N8" i="67" s="1"/>
  <c r="W30" i="9"/>
  <c r="W31" i="9" s="1"/>
  <c r="G17" i="9"/>
  <c r="K17" i="9"/>
  <c r="X12" i="9"/>
  <c r="X13" i="9" s="1"/>
  <c r="W12" i="9"/>
  <c r="W13" i="9" s="1"/>
  <c r="Y10" i="9"/>
  <c r="O60" i="3"/>
  <c r="N60" i="3"/>
  <c r="M60" i="3"/>
  <c r="L60" i="3"/>
  <c r="K60" i="3"/>
  <c r="J60" i="3"/>
  <c r="I60" i="3"/>
  <c r="H60" i="3"/>
  <c r="E60" i="3"/>
  <c r="D60" i="3"/>
  <c r="C60" i="3"/>
  <c r="B60" i="3"/>
  <c r="F58" i="3"/>
  <c r="Q58" i="3" s="1"/>
  <c r="F57" i="3"/>
  <c r="Q57" i="3" s="1"/>
  <c r="F56" i="3"/>
  <c r="F55" i="3"/>
  <c r="F54" i="3"/>
  <c r="F53" i="3"/>
  <c r="F52" i="3"/>
  <c r="F51" i="3"/>
  <c r="F50" i="3"/>
  <c r="F49" i="3"/>
  <c r="F48" i="3"/>
  <c r="F46" i="3"/>
  <c r="F45" i="3"/>
  <c r="R42" i="1"/>
  <c r="R23" i="1"/>
  <c r="O23" i="1"/>
  <c r="W17" i="1"/>
  <c r="X14" i="1" s="1"/>
  <c r="R17" i="1"/>
  <c r="O17" i="1"/>
  <c r="R14" i="1"/>
  <c r="O14" i="1"/>
  <c r="R11" i="1"/>
  <c r="W9" i="30"/>
  <c r="V6" i="30"/>
  <c r="F39" i="28"/>
  <c r="F18" i="64"/>
  <c r="O40" i="22"/>
  <c r="K39" i="28"/>
  <c r="B22" i="28"/>
  <c r="M39" i="28"/>
  <c r="K10" i="39"/>
  <c r="Y35" i="22"/>
  <c r="N19" i="62" l="1"/>
  <c r="W21" i="30"/>
  <c r="W22" i="30" s="1"/>
  <c r="U18" i="64"/>
  <c r="M18" i="64"/>
  <c r="K18" i="64"/>
  <c r="H18" i="64"/>
  <c r="T39" i="28"/>
  <c r="K22" i="28"/>
  <c r="Q22" i="28" s="1"/>
  <c r="F22" i="28"/>
  <c r="G22" i="10"/>
  <c r="F56" i="67"/>
  <c r="T10" i="22"/>
  <c r="T8" i="22"/>
  <c r="P60" i="3"/>
  <c r="Q52" i="3"/>
  <c r="Q53" i="3"/>
  <c r="P25" i="1"/>
  <c r="P44" i="1" s="1"/>
  <c r="N31" i="30"/>
  <c r="S18" i="64"/>
  <c r="O18" i="64"/>
  <c r="E18" i="64"/>
  <c r="C18" i="64"/>
  <c r="Z39" i="28"/>
  <c r="X39" i="28"/>
  <c r="X22" i="28"/>
  <c r="Z22" i="28" s="1"/>
  <c r="J30" i="64" s="1"/>
  <c r="J35" i="64"/>
  <c r="H22" i="28"/>
  <c r="O43" i="22"/>
  <c r="Q13" i="22" s="1"/>
  <c r="U35" i="22"/>
  <c r="E38" i="22"/>
  <c r="O38" i="22" s="1"/>
  <c r="S13" i="22" s="1"/>
  <c r="U37" i="22"/>
  <c r="O39" i="22"/>
  <c r="T11" i="22"/>
  <c r="T7" i="22"/>
  <c r="N102" i="70"/>
  <c r="K12" i="67"/>
  <c r="AM17" i="7"/>
  <c r="AI13" i="7"/>
  <c r="Y12" i="9"/>
  <c r="Y13" i="9" s="1"/>
  <c r="G58" i="56"/>
  <c r="P33" i="33"/>
  <c r="T9" i="71"/>
  <c r="T18" i="71"/>
  <c r="U18" i="71"/>
  <c r="U9" i="71"/>
  <c r="J13" i="65"/>
  <c r="K10" i="65"/>
  <c r="K11" i="65"/>
  <c r="K12" i="65"/>
  <c r="K9" i="65"/>
  <c r="J22" i="65"/>
  <c r="K21" i="65" s="1"/>
  <c r="Q54" i="3"/>
  <c r="Q56" i="3"/>
  <c r="Q48" i="3"/>
  <c r="Q55" i="3"/>
  <c r="Q49" i="3"/>
  <c r="Q46" i="3"/>
  <c r="Q50" i="3"/>
  <c r="Q51" i="3"/>
  <c r="R30" i="64"/>
  <c r="S25" i="1"/>
  <c r="S44" i="1" s="1"/>
  <c r="W10" i="30"/>
  <c r="V7" i="30"/>
  <c r="V8" i="30" s="1"/>
  <c r="H51" i="40"/>
  <c r="G53" i="40"/>
  <c r="F91" i="40"/>
  <c r="F53" i="40"/>
  <c r="L91" i="40"/>
  <c r="O91" i="40"/>
  <c r="H52" i="40"/>
  <c r="H50" i="40"/>
  <c r="P19" i="62"/>
  <c r="E161" i="61"/>
  <c r="L161" i="61"/>
  <c r="L166" i="61"/>
  <c r="K20" i="61"/>
  <c r="C13" i="61"/>
  <c r="E166" i="61"/>
  <c r="D24" i="10"/>
  <c r="G23" i="10"/>
  <c r="J21" i="50"/>
  <c r="J22" i="50" s="1"/>
  <c r="U52" i="3"/>
  <c r="V51" i="3"/>
  <c r="Q45" i="3"/>
  <c r="F60" i="3"/>
  <c r="E20" i="53"/>
  <c r="F18" i="53"/>
  <c r="F10" i="53"/>
  <c r="D30" i="64" s="1"/>
  <c r="D20" i="53"/>
  <c r="AD10" i="10"/>
  <c r="AE10" i="10"/>
  <c r="K19" i="65"/>
  <c r="N17" i="16"/>
  <c r="O16" i="16" s="1"/>
  <c r="J28" i="16"/>
  <c r="J36" i="16" s="1"/>
  <c r="B28" i="16"/>
  <c r="B36" i="16" s="1"/>
  <c r="D28" i="16"/>
  <c r="D36" i="16" s="1"/>
  <c r="J32" i="65"/>
  <c r="R14" i="55"/>
  <c r="O5" i="55" s="1"/>
  <c r="R32" i="55"/>
  <c r="O4" i="55" s="1"/>
  <c r="Q4" i="55" s="1"/>
  <c r="I44" i="1"/>
  <c r="L44" i="1"/>
  <c r="M44" i="1"/>
  <c r="J44" i="1"/>
  <c r="O25" i="1"/>
  <c r="O44" i="1" s="1"/>
  <c r="R25" i="1"/>
  <c r="X16" i="1"/>
  <c r="X15" i="1"/>
  <c r="K35" i="53"/>
  <c r="H18" i="61" l="1"/>
  <c r="H17" i="61"/>
  <c r="R31" i="64"/>
  <c r="U38" i="22"/>
  <c r="S39" i="22" s="1"/>
  <c r="AK13" i="7"/>
  <c r="W17" i="7"/>
  <c r="J18" i="7"/>
  <c r="J17" i="7"/>
  <c r="L28" i="53"/>
  <c r="J29" i="53" s="1"/>
  <c r="O4" i="16"/>
  <c r="O3" i="55"/>
  <c r="R44" i="1"/>
  <c r="X37" i="1" s="1"/>
  <c r="J19" i="50"/>
  <c r="T13" i="22"/>
  <c r="G24" i="10"/>
  <c r="D25" i="10"/>
  <c r="F33" i="7"/>
  <c r="W18" i="7"/>
  <c r="K18" i="65"/>
  <c r="K20" i="65"/>
  <c r="Q60" i="3"/>
  <c r="H53" i="40"/>
  <c r="J17" i="61"/>
  <c r="J15" i="61"/>
  <c r="J18" i="61"/>
  <c r="H15" i="61"/>
  <c r="H16" i="61"/>
  <c r="J16" i="61"/>
  <c r="J19" i="61"/>
  <c r="H19" i="61"/>
  <c r="F20" i="53"/>
  <c r="M14" i="53" s="1"/>
  <c r="K29" i="65"/>
  <c r="K30" i="65"/>
  <c r="K28" i="65"/>
  <c r="O15" i="16"/>
  <c r="O14" i="16"/>
  <c r="O6" i="55"/>
  <c r="Q5" i="55"/>
  <c r="Q6" i="55" s="1"/>
  <c r="X9" i="1"/>
  <c r="X8" i="1"/>
  <c r="X10" i="1"/>
  <c r="X17" i="1"/>
  <c r="G25" i="10" l="1"/>
  <c r="D26" i="10"/>
  <c r="G26" i="10" s="1"/>
  <c r="X43" i="1"/>
  <c r="O5" i="16"/>
  <c r="O32" i="16"/>
  <c r="O35" i="16"/>
  <c r="O31" i="16"/>
  <c r="O34" i="16"/>
  <c r="O33" i="16"/>
  <c r="K29" i="53"/>
  <c r="Q3" i="55"/>
  <c r="Q7" i="55" s="1"/>
  <c r="O7" i="55"/>
  <c r="X38" i="1"/>
  <c r="X33" i="1"/>
  <c r="X40" i="1"/>
  <c r="X34" i="1"/>
  <c r="X36" i="1"/>
  <c r="X35" i="1"/>
  <c r="X39" i="1"/>
  <c r="X42" i="1"/>
  <c r="X41" i="1"/>
  <c r="J23" i="50"/>
  <c r="L5" i="53"/>
  <c r="C54" i="32"/>
  <c r="K10" i="53"/>
  <c r="M4" i="53"/>
  <c r="L9" i="53"/>
  <c r="O17" i="16"/>
  <c r="X11" i="1"/>
  <c r="O36" i="16" l="1"/>
  <c r="K11" i="53"/>
  <c r="M11" i="53"/>
  <c r="K7" i="53"/>
  <c r="L7" i="53"/>
  <c r="K5" i="53"/>
  <c r="M7" i="53"/>
  <c r="L12" i="53"/>
  <c r="K9" i="53"/>
  <c r="M9" i="53"/>
  <c r="K8" i="53"/>
  <c r="L8" i="53"/>
  <c r="M5" i="53"/>
  <c r="M12" i="53"/>
  <c r="L4" i="53"/>
  <c r="K12" i="53"/>
  <c r="L11" i="53"/>
  <c r="K4" i="53"/>
  <c r="M8" i="53"/>
  <c r="K6" i="53"/>
  <c r="L6" i="53"/>
  <c r="M6" i="53"/>
  <c r="X44" i="1"/>
  <c r="M10" i="53"/>
  <c r="L10" i="53"/>
  <c r="M13" i="53" l="1"/>
</calcChain>
</file>

<file path=xl/sharedStrings.xml><?xml version="1.0" encoding="utf-8"?>
<sst xmlns="http://schemas.openxmlformats.org/spreadsheetml/2006/main" count="2964" uniqueCount="1151">
  <si>
    <t>CDI SAIC</t>
  </si>
  <si>
    <t>Bibliothèque</t>
  </si>
  <si>
    <t>Magasiniers</t>
  </si>
  <si>
    <t>Bib. Adjoints spécialisés</t>
  </si>
  <si>
    <t>Bibliothécaires</t>
  </si>
  <si>
    <t>Conservateurs des bibliothèques</t>
  </si>
  <si>
    <t>Médico-sociaux</t>
  </si>
  <si>
    <t>Assistante sociale</t>
  </si>
  <si>
    <t>Infirmières</t>
  </si>
  <si>
    <t>ADJENES</t>
  </si>
  <si>
    <t>SAENES</t>
  </si>
  <si>
    <t>ADMENESR</t>
  </si>
  <si>
    <t>Agent comptable</t>
  </si>
  <si>
    <t>SGEPES</t>
  </si>
  <si>
    <t>ITRF</t>
  </si>
  <si>
    <t>Adjoints techniques RF</t>
  </si>
  <si>
    <t>Techniciens de recherche</t>
  </si>
  <si>
    <t>Assistants ingénieurs</t>
  </si>
  <si>
    <t>Ingénieurs d'études</t>
  </si>
  <si>
    <t>Ingénieurs de recherche</t>
  </si>
  <si>
    <t>Total enseignants titulaires + contractuels</t>
  </si>
  <si>
    <t>Total enseignants contractuels</t>
  </si>
  <si>
    <t>Ch.cli.univ-ass.hop.</t>
  </si>
  <si>
    <t>Prat.Hosp.univ</t>
  </si>
  <si>
    <t>Lecteurs</t>
  </si>
  <si>
    <t>ATER</t>
  </si>
  <si>
    <t>ENSEIGNANTS CONTRACTUELS</t>
  </si>
  <si>
    <t>Total enseignants titulaires</t>
  </si>
  <si>
    <t>Enseignants du second degré</t>
  </si>
  <si>
    <t>Professeurs d'EPS</t>
  </si>
  <si>
    <t>Professeurs certifiés</t>
  </si>
  <si>
    <t>Professeurs agrégés</t>
  </si>
  <si>
    <t>Enseignants-chercheurs</t>
  </si>
  <si>
    <t>Maîtres de conférences</t>
  </si>
  <si>
    <t>Professeurs des universités</t>
  </si>
  <si>
    <t>Hospitalo-universitaires</t>
  </si>
  <si>
    <t>MCPH</t>
  </si>
  <si>
    <t>PUPH</t>
  </si>
  <si>
    <t>Totaux</t>
  </si>
  <si>
    <t>UFR SHS</t>
  </si>
  <si>
    <t>UFR DROIT</t>
  </si>
  <si>
    <t>UFR ALL</t>
  </si>
  <si>
    <t>TELECOM</t>
  </si>
  <si>
    <t>SUAPS</t>
  </si>
  <si>
    <t>POLE INTERNATIONAL</t>
  </si>
  <si>
    <t>IUT ST-ETIENNE</t>
  </si>
  <si>
    <t>IUT ROANNE</t>
  </si>
  <si>
    <t>Total</t>
  </si>
  <si>
    <t>CDI</t>
  </si>
  <si>
    <t>Lecteur</t>
  </si>
  <si>
    <t>PAST</t>
  </si>
  <si>
    <t>Associés
HU</t>
  </si>
  <si>
    <t>Prof.
ENSAM</t>
  </si>
  <si>
    <t>2d
degré</t>
  </si>
  <si>
    <t>Enseignants contractuels</t>
  </si>
  <si>
    <t>Enseignants titulaires</t>
  </si>
  <si>
    <t>Personnel d'orientation</t>
  </si>
  <si>
    <t>Total personnels mis à disposition</t>
  </si>
  <si>
    <t>PR</t>
  </si>
  <si>
    <t>MCF</t>
  </si>
  <si>
    <t>Catégorie A</t>
  </si>
  <si>
    <t>Catégorie B</t>
  </si>
  <si>
    <t>Catégorie C</t>
  </si>
  <si>
    <t xml:space="preserve"> BU</t>
  </si>
  <si>
    <t>BU</t>
  </si>
  <si>
    <t>Prof. lycée professionnel (PLP)</t>
  </si>
  <si>
    <t>Professeurs associés</t>
  </si>
  <si>
    <t>Maîtres de conférences associés</t>
  </si>
  <si>
    <t>Assistants Hosp.Univ.</t>
  </si>
  <si>
    <t>Associés Hosp. Univ.</t>
  </si>
  <si>
    <t>CNU</t>
  </si>
  <si>
    <t>Locales</t>
  </si>
  <si>
    <t>Promo locales</t>
  </si>
  <si>
    <t>Promo CNU</t>
  </si>
  <si>
    <t>Tot.</t>
  </si>
  <si>
    <t>Postes à pourvoir</t>
  </si>
  <si>
    <t>Total candidats</t>
  </si>
  <si>
    <t>Nb candidats/postes</t>
  </si>
  <si>
    <t>Candidats locaux</t>
  </si>
  <si>
    <t>Total candidats retenus</t>
  </si>
  <si>
    <t>Total candidats locaux retenus</t>
  </si>
  <si>
    <t>Total candidats classés</t>
  </si>
  <si>
    <t>% candidats classés/total des candidats</t>
  </si>
  <si>
    <t>Cat. A</t>
  </si>
  <si>
    <t>Cat. B</t>
  </si>
  <si>
    <t>Cat. C</t>
  </si>
  <si>
    <t>ETP</t>
  </si>
  <si>
    <t>F</t>
  </si>
  <si>
    <t>Hommes</t>
  </si>
  <si>
    <t>Femmes</t>
  </si>
  <si>
    <t>2d degré</t>
  </si>
  <si>
    <t>DGS</t>
  </si>
  <si>
    <t>M-Soc</t>
  </si>
  <si>
    <t>PR 1ère classe</t>
  </si>
  <si>
    <t>Effectif
physique</t>
  </si>
  <si>
    <t>Total
T + C</t>
  </si>
  <si>
    <t>ENSEIGNANTS CHERCHEURS ET ENSEIGNANTS</t>
  </si>
  <si>
    <t>Ens
Cherch.</t>
  </si>
  <si>
    <t>Hosp
Univ.</t>
  </si>
  <si>
    <t>Enseignants chercheurs</t>
  </si>
  <si>
    <t>Medico-sociaux</t>
  </si>
  <si>
    <t>Postes publiés</t>
  </si>
  <si>
    <t>Dont créations</t>
  </si>
  <si>
    <t>Hors créations</t>
  </si>
  <si>
    <t>Redéploiement entre composantes avec changement de section CNU</t>
  </si>
  <si>
    <t>Redéploiement entre composantes sans changement de section CNU</t>
  </si>
  <si>
    <t>Transformation de niveau d'emploi dans la composante</t>
  </si>
  <si>
    <t>Transformation d'enseignant en non-enseignant</t>
  </si>
  <si>
    <t>Total redéploiements</t>
  </si>
  <si>
    <t>Total enseignants</t>
  </si>
  <si>
    <t>Accueil des étudiants</t>
  </si>
  <si>
    <t>Promotion offre de formation</t>
  </si>
  <si>
    <t>Soutien informatique</t>
  </si>
  <si>
    <t>Services communs</t>
  </si>
  <si>
    <t>UFR et Instituts</t>
  </si>
  <si>
    <t>MAD</t>
  </si>
  <si>
    <t>%</t>
  </si>
  <si>
    <t>LA</t>
  </si>
  <si>
    <t>TA</t>
  </si>
  <si>
    <t>AENES</t>
  </si>
  <si>
    <t>48 ans</t>
  </si>
  <si>
    <t>47 ans</t>
  </si>
  <si>
    <t>46 ans</t>
  </si>
  <si>
    <t>Enseignants</t>
  </si>
  <si>
    <t>F + H</t>
  </si>
  <si>
    <t>ALL-SHS</t>
  </si>
  <si>
    <t>Droit-Sc.Eco</t>
  </si>
  <si>
    <t>Sciences</t>
  </si>
  <si>
    <t>Médecine</t>
  </si>
  <si>
    <t>Personnels enseignants : répartition par sexe et par corps</t>
  </si>
  <si>
    <t>H</t>
  </si>
  <si>
    <t>CA</t>
  </si>
  <si>
    <t>CPE</t>
  </si>
  <si>
    <t>Enseignants chercheurs et hospitalo-univ.</t>
  </si>
  <si>
    <t>Moyen</t>
  </si>
  <si>
    <t>Montant total</t>
  </si>
  <si>
    <t>% de la MS</t>
  </si>
  <si>
    <t>Primes Enseignants</t>
  </si>
  <si>
    <t>PRES</t>
  </si>
  <si>
    <t>PEDR</t>
  </si>
  <si>
    <t>PRP</t>
  </si>
  <si>
    <t>PA</t>
  </si>
  <si>
    <t>PCA</t>
  </si>
  <si>
    <t>PES</t>
  </si>
  <si>
    <t>IAT</t>
  </si>
  <si>
    <t>PPRS</t>
  </si>
  <si>
    <t>PFR</t>
  </si>
  <si>
    <t>Rem. Enseignants</t>
  </si>
  <si>
    <t>Enseignants de l'UJM</t>
  </si>
  <si>
    <t>Personnels extérieurs</t>
  </si>
  <si>
    <t>Nb agents</t>
  </si>
  <si>
    <t>en H équ. TD</t>
  </si>
  <si>
    <t>en €uros</t>
  </si>
  <si>
    <t>Type formation</t>
  </si>
  <si>
    <t>Coût
pédagogique</t>
  </si>
  <si>
    <t>Frais de
missions</t>
  </si>
  <si>
    <t>Accident trajet</t>
  </si>
  <si>
    <t>Accident service/travail</t>
  </si>
  <si>
    <t>Médecine du travail et actions de prévention</t>
  </si>
  <si>
    <t>Absence pour raison de santé</t>
  </si>
  <si>
    <t>Absence pour maternité, paternité, adoption, congé parental</t>
  </si>
  <si>
    <t>Nb arrêts</t>
  </si>
  <si>
    <t>Nb jours</t>
  </si>
  <si>
    <t>COM</t>
  </si>
  <si>
    <t>CLM</t>
  </si>
  <si>
    <t>CLD</t>
  </si>
  <si>
    <t>Femme</t>
  </si>
  <si>
    <t>Homme</t>
  </si>
  <si>
    <t>Total F + H</t>
  </si>
  <si>
    <t>Durée du congé</t>
  </si>
  <si>
    <t>Moins de  5 jours</t>
  </si>
  <si>
    <t>Contractuels</t>
  </si>
  <si>
    <t>Taux de retour des entretiens professionnels</t>
  </si>
  <si>
    <t>Congé parental</t>
  </si>
  <si>
    <t>Congé maternité</t>
  </si>
  <si>
    <t>Nb Ens</t>
  </si>
  <si>
    <t>% de l'effectif concerné</t>
  </si>
  <si>
    <t>Risques professionnels et surveillance médicale</t>
  </si>
  <si>
    <t>Effectif soumis à surveillance médicale particulière</t>
  </si>
  <si>
    <t>Examens complémentaires</t>
  </si>
  <si>
    <t>Examens biologiques, Examens paracliniques,Vaccinations</t>
  </si>
  <si>
    <t>Avis sur l'aptitude</t>
  </si>
  <si>
    <t>Activité en milieu de travail</t>
  </si>
  <si>
    <t>Décrets spéciaux (Ecran, Bruit, Plomb, Manutention…)</t>
  </si>
  <si>
    <t>Risques spéciaux (Chlore, Mercure, Travaux poussière…)</t>
  </si>
  <si>
    <t>Surveillance particulière recherche</t>
  </si>
  <si>
    <t>Poste de travail et état de santé</t>
  </si>
  <si>
    <t>Inaptitude totale</t>
  </si>
  <si>
    <t>Orientations vers des spécialistes ou généralistes</t>
  </si>
  <si>
    <t>Surveillance post-exposition (Amiante, Benzène…)</t>
  </si>
  <si>
    <t>Visites de laboratoires, de postes de travail</t>
  </si>
  <si>
    <t>Aménagement de poste de travail (ergonomie au poste informatique)</t>
  </si>
  <si>
    <t>Du fait de l'état de santé (Handicap, Grossesses…)</t>
  </si>
  <si>
    <t>Apte avec restrictions (Handicap, Grossesses, Santé…)</t>
  </si>
  <si>
    <t>Apte avec aménagement de poste (Handicap, Grossesses, Santé…)</t>
  </si>
  <si>
    <t>Nb de personnes vues (visites médicales périodiques)</t>
  </si>
  <si>
    <t>Sécurité incendie - Manipulation sur feux réels</t>
  </si>
  <si>
    <t>Conduite des autoclaves</t>
  </si>
  <si>
    <t>Gestes et postures  – Manutention des charges</t>
  </si>
  <si>
    <t>Les formations en hygiène et sécurité</t>
  </si>
  <si>
    <t>Evaluation des risques professionnels et maîtrise des risques</t>
  </si>
  <si>
    <t>Montant</t>
  </si>
  <si>
    <t>2.1.</t>
  </si>
  <si>
    <t>Personnels enseignants : répartition par sexe et par grands secteurs</t>
  </si>
  <si>
    <t>1.1.</t>
  </si>
  <si>
    <t>1.2.</t>
  </si>
  <si>
    <t>1.3.</t>
  </si>
  <si>
    <t>1.5.</t>
  </si>
  <si>
    <t>1.6.</t>
  </si>
  <si>
    <t>1.7.</t>
  </si>
  <si>
    <t>2.2.</t>
  </si>
  <si>
    <t>2.3.</t>
  </si>
  <si>
    <t>2.4.</t>
  </si>
  <si>
    <t>2.5.</t>
  </si>
  <si>
    <t>1.1. Le plafond d'emplois</t>
  </si>
  <si>
    <t>Heures comp</t>
  </si>
  <si>
    <t>UFR MEDECINE</t>
  </si>
  <si>
    <t>ETPT</t>
  </si>
  <si>
    <t>Administrationde l'éducation nationale et de l'enseignement supérieur</t>
  </si>
  <si>
    <t>Conseil d'administration</t>
  </si>
  <si>
    <t>Commission paritaire d'établissement</t>
  </si>
  <si>
    <t>CRCT</t>
  </si>
  <si>
    <t>Congé pour recherche et conversion thématique</t>
  </si>
  <si>
    <t>CNRS</t>
  </si>
  <si>
    <t>INSERM</t>
  </si>
  <si>
    <t>Centre national de recherche scientifique</t>
  </si>
  <si>
    <t>Congé de longue durée</t>
  </si>
  <si>
    <t>Congé de longue maladie</t>
  </si>
  <si>
    <t>Conseil national des universités</t>
  </si>
  <si>
    <t>Attaché temporaire d'enseignement et de recherche</t>
  </si>
  <si>
    <t>Ingénieur et technicien de recherce et de formation</t>
  </si>
  <si>
    <t>Bibliothèque universitaire</t>
  </si>
  <si>
    <t>Institut national de la santé et de la recherche médicale</t>
  </si>
  <si>
    <t>Secrétaire général d'établissement public d'enseignement supérieur</t>
  </si>
  <si>
    <t>CDD</t>
  </si>
  <si>
    <t>Contrat à durée déterminée</t>
  </si>
  <si>
    <t>Contrat à durée indéterminée</t>
  </si>
  <si>
    <t>Professeur d'université</t>
  </si>
  <si>
    <t>Maître de conférences</t>
  </si>
  <si>
    <t>Professeur d'université praticien hospitalier</t>
  </si>
  <si>
    <t>Maître de conférences praticien hospitalier</t>
  </si>
  <si>
    <t>SAIC</t>
  </si>
  <si>
    <t>Service des activités industrielles et commerciales</t>
  </si>
  <si>
    <t>Direction générale des services</t>
  </si>
  <si>
    <t>UFR</t>
  </si>
  <si>
    <t>Unité de formation et de recherche</t>
  </si>
  <si>
    <t>Prime de recherche et d'enseignement supérieur</t>
  </si>
  <si>
    <t>Prime d'encadrement doctoral et de recherche</t>
  </si>
  <si>
    <t>Prime d'adminitrations</t>
  </si>
  <si>
    <t>Prime pour charges administratives</t>
  </si>
  <si>
    <t>Prime de responsabilité pédagogique</t>
  </si>
  <si>
    <t>Prime d'excellence scientifique</t>
  </si>
  <si>
    <t>Prime de fonctions et résultats</t>
  </si>
  <si>
    <t>IFTS</t>
  </si>
  <si>
    <t>Indemnité forfaitaire pour travaux supplémentaires</t>
  </si>
  <si>
    <t>Indemnité d'administration et de technicité</t>
  </si>
  <si>
    <t>Prime de participation à la recherche scientifique</t>
  </si>
  <si>
    <t>ARE</t>
  </si>
  <si>
    <t>Allocation de retour à l'emploi</t>
  </si>
  <si>
    <t>ACMO</t>
  </si>
  <si>
    <t>Agent chargé de la mise en œuvre des règles d'hygiène et de sécurité</t>
  </si>
  <si>
    <t>SST</t>
  </si>
  <si>
    <t>Sauveteur secouriste du travail</t>
  </si>
  <si>
    <t>Glossaire</t>
  </si>
  <si>
    <t>supérieur</t>
  </si>
  <si>
    <t>Secrétaire administratif de l'éducation nationale et de l'enseignement</t>
  </si>
  <si>
    <t>Personnels de bilbiothèqe, ingénieurs, administratifs, techniques,</t>
  </si>
  <si>
    <t>Titulaires</t>
  </si>
  <si>
    <t>Droit - Sc. Eco</t>
  </si>
  <si>
    <t>ALL -  SHS</t>
  </si>
  <si>
    <t>Domaine santé</t>
  </si>
  <si>
    <t>Chercheurs en CDD</t>
  </si>
  <si>
    <t>Nb jours
indemnisés</t>
  </si>
  <si>
    <t>Montant
total</t>
  </si>
  <si>
    <t>Absentéisme des personnels Enseignants - Congés ordinaires de maladie</t>
  </si>
  <si>
    <t>45 ans</t>
  </si>
  <si>
    <t>Personnels titulaires</t>
  </si>
  <si>
    <t>2.6.</t>
  </si>
  <si>
    <t>PR et PUPH</t>
  </si>
  <si>
    <t>MCF et MCUPH</t>
  </si>
  <si>
    <t>Chapitre 1 - Emploi - Démographie - Parité hommes/femmes</t>
  </si>
  <si>
    <t>Structure des rémunérations</t>
  </si>
  <si>
    <t>2.1. Structure des rémunérations</t>
  </si>
  <si>
    <t>Salaires moyens des personnels titulaires (hors indemnitaire)</t>
  </si>
  <si>
    <t>Arbre de Noël</t>
  </si>
  <si>
    <t>CAPA</t>
  </si>
  <si>
    <t>Commission Administrative Paritaire Académique</t>
  </si>
  <si>
    <t>CAPN</t>
  </si>
  <si>
    <t>Commission Administrative Paritaire Nationale</t>
  </si>
  <si>
    <t>PIM</t>
  </si>
  <si>
    <t>ASIU</t>
  </si>
  <si>
    <t>Action sociale d'initiative universitaire</t>
  </si>
  <si>
    <t>CESU</t>
  </si>
  <si>
    <t>Chèque emploi-service universel</t>
  </si>
  <si>
    <t>Equivalent temps plein : Unité de mesure qui prend en compte la quotité</t>
  </si>
  <si>
    <t>comptabilisé  0,8 ETP contre 1 en effectif physique)</t>
  </si>
  <si>
    <t>Prestations Inter-Ministérielles</t>
  </si>
  <si>
    <t xml:space="preserve">de travail de l'agent (ex : un agent exerçant son activité à 80% sera </t>
  </si>
  <si>
    <t>Direction Générale 
des Services</t>
  </si>
  <si>
    <t>Nombre de stagiaires par catégorie, types de formation et nombre d'heures par stagiaire</t>
  </si>
  <si>
    <t>MC</t>
  </si>
  <si>
    <t>Enseignants en CDD</t>
  </si>
  <si>
    <t>UFR SCIENCES</t>
  </si>
  <si>
    <t>MCF HC</t>
  </si>
  <si>
    <t>PR CE 2ème échelon</t>
  </si>
  <si>
    <t>PR CE 1er échelon</t>
  </si>
  <si>
    <t>Transformation de niveau d'emploi avec changement de section CNU entre composantes</t>
  </si>
  <si>
    <t>Redéploiement dans la composante avec changement de section CNU</t>
  </si>
  <si>
    <t>Tranches âges Enseignants</t>
  </si>
  <si>
    <t>Tranches âges BIATSS</t>
  </si>
  <si>
    <t>BIATSS titulaires</t>
  </si>
  <si>
    <t>BIATSS contractuels</t>
  </si>
  <si>
    <t>BIATSS</t>
  </si>
  <si>
    <t>ENS + BIATSS</t>
  </si>
  <si>
    <t>Personnels BIATSS (titulaires &amp; contractuels) : répartition par sexe et par catégorie</t>
  </si>
  <si>
    <t>Chapitre 3 - Formation des personnels - Conditions de travail - Hygiène et sécurité</t>
  </si>
  <si>
    <t>Sauveteur Secourisme du Travail - SST (initiale et recyclage)</t>
  </si>
  <si>
    <t>SSIAP 1</t>
  </si>
  <si>
    <t>Total général</t>
  </si>
  <si>
    <t>Observation sur 5 ans</t>
  </si>
  <si>
    <t>Nb BIATSS</t>
  </si>
  <si>
    <t>Absentéisme des personnels BIATSS - Congés ordinaires de maladie</t>
  </si>
  <si>
    <t>Printemps</t>
  </si>
  <si>
    <t>Eté</t>
  </si>
  <si>
    <t>Automne</t>
  </si>
  <si>
    <t>Hiver</t>
  </si>
  <si>
    <t>Domaine professionnel</t>
  </si>
  <si>
    <t>Profils
familiaux</t>
  </si>
  <si>
    <t>Personnes vivant seules</t>
  </si>
  <si>
    <t>Couples avec enfants à charge</t>
  </si>
  <si>
    <t>Familles monoparentales</t>
  </si>
  <si>
    <t>Répartition des personnels enseignants dans les composantes, en ETP</t>
  </si>
  <si>
    <t>Prévisions de départ à la retraite des personnels Enseignants et BIATSS titulaires et des contractuels en CDI</t>
  </si>
  <si>
    <t>3.4 - Hygiène et sécurité</t>
  </si>
  <si>
    <t>Contractuels BIATSS</t>
  </si>
  <si>
    <t>Total BIATSS</t>
  </si>
  <si>
    <t>CT</t>
  </si>
  <si>
    <t>Rem. BIATSS</t>
  </si>
  <si>
    <t>BIATSS Cat. A</t>
  </si>
  <si>
    <t>BIATSS Cat. B</t>
  </si>
  <si>
    <t>BIATSS Cat. C</t>
  </si>
  <si>
    <t>% Femmes sur le nb
de promus</t>
  </si>
  <si>
    <t>TOTAL
F + H</t>
  </si>
  <si>
    <t>1 assistante de service social à mi-temps</t>
  </si>
  <si>
    <t>Total BIATSS titulaires + contractuels</t>
  </si>
  <si>
    <t>Total BIATSS contractuels</t>
  </si>
  <si>
    <t>Origine de la demande</t>
  </si>
  <si>
    <t>Santé</t>
  </si>
  <si>
    <t>Professionnel</t>
  </si>
  <si>
    <t>Personnel</t>
  </si>
  <si>
    <t>Typologie des personnels demandeurs</t>
  </si>
  <si>
    <t>Types d'interventions sociales</t>
  </si>
  <si>
    <t>Les travailleurs handicapés</t>
  </si>
  <si>
    <t>A</t>
  </si>
  <si>
    <t>B</t>
  </si>
  <si>
    <t>C</t>
  </si>
  <si>
    <t>Cont. BIATSS</t>
  </si>
  <si>
    <t>MS Etat</t>
  </si>
  <si>
    <t>MS budget propre</t>
  </si>
  <si>
    <t>Enseignants du 2d degré</t>
  </si>
  <si>
    <t>Nombre de contrats étudiants par missions</t>
  </si>
  <si>
    <t>Dépenses</t>
  </si>
  <si>
    <t>Nb de
dossiers</t>
  </si>
  <si>
    <t>Allocations enfants handicapés</t>
  </si>
  <si>
    <t>Aides séjours d'enfants</t>
  </si>
  <si>
    <t>Secours d'urgence</t>
  </si>
  <si>
    <t>Aides BAFA</t>
  </si>
  <si>
    <t>Voyages</t>
  </si>
  <si>
    <t>Sport</t>
  </si>
  <si>
    <t>CHSCT</t>
  </si>
  <si>
    <t>Comité technique</t>
  </si>
  <si>
    <t>Dialogue social</t>
  </si>
  <si>
    <t>Action sociale</t>
  </si>
  <si>
    <t>Participation aux frais de transport</t>
  </si>
  <si>
    <t>Politique culturelle</t>
  </si>
  <si>
    <t>Retraite</t>
  </si>
  <si>
    <t>Ens. 2nd degré</t>
  </si>
  <si>
    <t>Ens. Chercheurs</t>
  </si>
  <si>
    <t>Ens. Hos. Univ.</t>
  </si>
  <si>
    <t>Mutation sortante</t>
  </si>
  <si>
    <t>Recrutement par la voie de la mutation et du détachement</t>
  </si>
  <si>
    <t>Mutation</t>
  </si>
  <si>
    <t>Spécifique</t>
  </si>
  <si>
    <t>Contrat TH</t>
  </si>
  <si>
    <t>Ages moyens et médians des personnels (titulaires et contractuels)</t>
  </si>
  <si>
    <t>Personnels contractuels CDI</t>
  </si>
  <si>
    <t>Médian</t>
  </si>
  <si>
    <t>Personnels contractuels CDD</t>
  </si>
  <si>
    <t>Université Jean Monnet</t>
  </si>
  <si>
    <t>Taux d’emploi des travailleurs handicapés</t>
  </si>
  <si>
    <t>Fonction Publique d’Etat</t>
  </si>
  <si>
    <t>Plafond Etat</t>
  </si>
  <si>
    <t>Non permanents</t>
  </si>
  <si>
    <t>Total d'ETP</t>
  </si>
  <si>
    <t>Nb d'agents</t>
  </si>
  <si>
    <t>Répartition des types de contrat par catégories, en effectif physique et ETP</t>
  </si>
  <si>
    <t>Total
d'agents</t>
  </si>
  <si>
    <t>Incapacité temporaire</t>
  </si>
  <si>
    <t>Visites de reprise (après maladie, CLM/CLD, maternité, AT…)</t>
  </si>
  <si>
    <t>BIB</t>
  </si>
  <si>
    <t>Nb F promues</t>
  </si>
  <si>
    <t>Nb H promus</t>
  </si>
  <si>
    <t>Promouvables</t>
  </si>
  <si>
    <t>Promus</t>
  </si>
  <si>
    <t>Promus LAP</t>
  </si>
  <si>
    <t>Promus TAV</t>
  </si>
  <si>
    <t>Enseignants et BIATSS</t>
  </si>
  <si>
    <t>Enseignants du 2nd degré</t>
  </si>
  <si>
    <t>Les femmes et les fonctions
à responsabilité structurelle</t>
  </si>
  <si>
    <t>La direction des laboratoires de recherche</t>
  </si>
  <si>
    <t>Disponibilité</t>
  </si>
  <si>
    <t>Détachement</t>
  </si>
  <si>
    <t>Nb promouvables UJM</t>
  </si>
  <si>
    <t>Commission de la formation et de la vie universitaire</t>
  </si>
  <si>
    <t xml:space="preserve">
</t>
  </si>
  <si>
    <t>Spectacles jeune public</t>
  </si>
  <si>
    <t>Repas des personnels</t>
  </si>
  <si>
    <t>2.6. La garantie individuelle du pouvoir d'achat (GIPA)</t>
  </si>
  <si>
    <t>Personnels enseignants</t>
  </si>
  <si>
    <t>Personnels BIATSS</t>
  </si>
  <si>
    <t>Montant versé</t>
  </si>
  <si>
    <t>Cat A</t>
  </si>
  <si>
    <t>Cat B</t>
  </si>
  <si>
    <t>Cat C</t>
  </si>
  <si>
    <t>Activités loisirs</t>
  </si>
  <si>
    <t xml:space="preserve">1 secrétaire </t>
  </si>
  <si>
    <t>Actions culturelles</t>
  </si>
  <si>
    <t>Les moyens financiers</t>
  </si>
  <si>
    <t>Evènements culturels à la Maison de l'Université</t>
  </si>
  <si>
    <t>Fréquentation moyenne à ces évènements</t>
  </si>
  <si>
    <t>Nombre total de spectateurs à ces évènements</t>
  </si>
  <si>
    <t>Pochettes culturelles vendues</t>
  </si>
  <si>
    <t>Billets cinéma vendus</t>
  </si>
  <si>
    <t>Budget du Fest'Uval</t>
  </si>
  <si>
    <t>Activités de loisisrs</t>
  </si>
  <si>
    <t>Sport (en collaboration avec le SUAPS)</t>
  </si>
  <si>
    <r>
      <t>Stage préparation à la retraite (</t>
    </r>
    <r>
      <rPr>
        <i/>
        <sz val="8"/>
        <color indexed="62"/>
        <rFont val="Calibri"/>
        <family val="2"/>
      </rPr>
      <t>une année sur 2</t>
    </r>
    <r>
      <rPr>
        <sz val="8"/>
        <color indexed="62"/>
        <rFont val="Calibri"/>
        <family val="2"/>
      </rPr>
      <t>)</t>
    </r>
  </si>
  <si>
    <t>1 personne compétente en radioprotection</t>
  </si>
  <si>
    <t xml:space="preserve">Prévention du risque incendie  </t>
  </si>
  <si>
    <t xml:space="preserve">Risques particuliers  </t>
  </si>
  <si>
    <t>Biatss</t>
  </si>
  <si>
    <t>Management</t>
  </si>
  <si>
    <t>Gestion, communication, Organisation du travail</t>
  </si>
  <si>
    <t>Informatique-Bureautique</t>
  </si>
  <si>
    <t>Préparation concours</t>
  </si>
  <si>
    <t>Langues étrangères</t>
  </si>
  <si>
    <t>Hygiène et Sécurité</t>
  </si>
  <si>
    <t>Total/catégorie/genre</t>
  </si>
  <si>
    <t>Total/catégorie</t>
  </si>
  <si>
    <t>Gestion, communication,
Organisation du travail</t>
  </si>
  <si>
    <t>TOTAL</t>
  </si>
  <si>
    <t>Redéploiement des postes d'enseignants chercheurs et du second degré</t>
  </si>
  <si>
    <t>Recrutements et départs des enseignants chercheurs et des enseignants</t>
  </si>
  <si>
    <t>Type dispositif</t>
  </si>
  <si>
    <t>Nombre de personnes vues</t>
  </si>
  <si>
    <t>Statuts des BIATSS</t>
  </si>
  <si>
    <t>Catégories des personnels BIATSS</t>
  </si>
  <si>
    <t>Registre spécial de signalement de danger grave et imminent</t>
  </si>
  <si>
    <t>Habilitation Electrique (initiale et recyclage)</t>
  </si>
  <si>
    <t>Sécurité incendie-Evacuation BU Tréfilerie</t>
  </si>
  <si>
    <t>Expérimentation animale</t>
  </si>
  <si>
    <t>Sensibilisation aux premiers secours</t>
  </si>
  <si>
    <t>Formation assistant de prévention</t>
  </si>
  <si>
    <t>AT</t>
  </si>
  <si>
    <t>CGM</t>
  </si>
  <si>
    <t>Autres actions organisées :</t>
  </si>
  <si>
    <t>Répartition par genre des représentants du personnel</t>
  </si>
  <si>
    <t>Nombre de réunions des instances</t>
  </si>
  <si>
    <t>Nombre de journées d'autorisation d'absence accordées pour siéger dans une instance de concertation</t>
  </si>
  <si>
    <t>M</t>
  </si>
  <si>
    <t>Comité d'Hygiène, de Sécurité et des Conditions de Travail</t>
  </si>
  <si>
    <t>Suppléants</t>
  </si>
  <si>
    <t>Nombre de décharges et nombre d'heures de décharge</t>
  </si>
  <si>
    <t>Moyens accordés aux syndicats</t>
  </si>
  <si>
    <t>Ages moyens</t>
  </si>
  <si>
    <t>Ages médians</t>
  </si>
  <si>
    <t>Enseignants
Hospitalo-Universitaires</t>
  </si>
  <si>
    <t>Commission
de la recherche</t>
  </si>
  <si>
    <t>Absence pour grèves</t>
  </si>
  <si>
    <t>Ressources propres</t>
  </si>
  <si>
    <t>Personnels mis à disposition</t>
  </si>
  <si>
    <t>Professeur ENSAM</t>
  </si>
  <si>
    <t>% cand. locaux retenus/total candidats retenus</t>
  </si>
  <si>
    <t>Total promus</t>
  </si>
  <si>
    <t>de service et de santé</t>
  </si>
  <si>
    <t>Contractuels enseignants</t>
  </si>
  <si>
    <t>Cont. enseignants</t>
  </si>
  <si>
    <t>Commissions paritaires d'établissement</t>
  </si>
  <si>
    <t>DEPT</t>
  </si>
  <si>
    <t>Préparation concours diplôme</t>
  </si>
  <si>
    <t>Handicap</t>
  </si>
  <si>
    <t>Risques Psycho-Sociaux</t>
  </si>
  <si>
    <t>Risques biologiques</t>
  </si>
  <si>
    <t>Sécurité en hauteur</t>
  </si>
  <si>
    <t>Conservateur général des bibliothéques</t>
  </si>
  <si>
    <t>NB total de visites</t>
  </si>
  <si>
    <t>Les pourcentages présentés par la suite sont calculés à partir du nombre de personnes reçues.</t>
  </si>
  <si>
    <t>Difficultés d'adaptation,  d'intégration, mutation, reconversion,  RPS (Risques Psycho Sociaux), questions liées à la retraite.</t>
  </si>
  <si>
    <t xml:space="preserve">Information sur la protection sociale (maladie, handicap…), accompagnement dans le retour au travail et/ou la cessation d'activité, aménagement de poste, demandes FIPHFP, soutien psychologique. </t>
  </si>
  <si>
    <t>Domaine personnel</t>
  </si>
  <si>
    <t>Billetterie (piscine, cirque)</t>
  </si>
  <si>
    <t>Visites patrimoniales</t>
  </si>
  <si>
    <t>Billetteries spectacles vivants vendues à l'unité</t>
  </si>
  <si>
    <t>IAE</t>
  </si>
  <si>
    <t>Primes BIATSS</t>
  </si>
  <si>
    <t>ENS</t>
  </si>
  <si>
    <t>Nb
décharges</t>
  </si>
  <si>
    <t>Nb
heures</t>
  </si>
  <si>
    <t>Stagiaires</t>
  </si>
  <si>
    <t>Nombre d'heures-stagiaires</t>
  </si>
  <si>
    <t>UJM</t>
  </si>
  <si>
    <t>Des femmes</t>
  </si>
  <si>
    <t>Des hommes</t>
  </si>
  <si>
    <t>Ensemble des populations</t>
  </si>
  <si>
    <t>Chapitre 4 - Vie de l'établissement</t>
  </si>
  <si>
    <t>4.1. Dialogue social</t>
  </si>
  <si>
    <t>4.1.</t>
  </si>
  <si>
    <t>4.2.</t>
  </si>
  <si>
    <t>4.3.</t>
  </si>
  <si>
    <t>4.4.</t>
  </si>
  <si>
    <t>Chapitre 4 -Vie de l'établissement</t>
  </si>
  <si>
    <t>Personnel administratif et technique</t>
  </si>
  <si>
    <t>Unités de recherche</t>
  </si>
  <si>
    <t>Effectif en ETP des personnels BIATSS</t>
  </si>
  <si>
    <t>Total BIATSS titulaires</t>
  </si>
  <si>
    <t>Aide insertion professionnelle</t>
  </si>
  <si>
    <t>EC en CDD</t>
  </si>
  <si>
    <t>Enseignants en CDI</t>
  </si>
  <si>
    <t>Nomination après concours</t>
  </si>
  <si>
    <t>VAE</t>
  </si>
  <si>
    <t>Congé de Formation</t>
  </si>
  <si>
    <t>&amp;</t>
  </si>
  <si>
    <t>Bilan de compétences</t>
  </si>
  <si>
    <t>La place des femmes dans les comités de sélection et les jurys de concours  (enseignantes et BIATSS)</t>
  </si>
  <si>
    <t>3.4.</t>
  </si>
  <si>
    <t>3.5.</t>
  </si>
  <si>
    <t>CFVU</t>
  </si>
  <si>
    <t>Comité d'hygiène, de sécurité et des conditions de travail</t>
  </si>
  <si>
    <t>Commission de la recherche</t>
  </si>
  <si>
    <t>AAE</t>
  </si>
  <si>
    <t>Attaché d'administration de l'Etat</t>
  </si>
  <si>
    <t>Administrateur de l'éducation nationale, de l'enseignement supérieur et de la recherche</t>
  </si>
  <si>
    <t>Adjoint adminitratif de l'éducation nationale et de l'enseignement supérieur</t>
  </si>
  <si>
    <t>Equivalent temps plein travaillé : Unité de mesure qui proratise l'ETP en fonction de la période d'activité sur l'année (ex : un agent à 80% sur 6 mois = 0,4 ETPT)</t>
  </si>
  <si>
    <t>CR</t>
  </si>
  <si>
    <t>Ens
Cont.</t>
  </si>
  <si>
    <t>Cherch.
Cont.</t>
  </si>
  <si>
    <t>La place des femmes dans les instances ou dans des fonctions à responsabilité - (Représentants de l'Administration et des personnels)</t>
  </si>
  <si>
    <t>Répartition globale par sexe des personnels Enseignants et BIATSS titulaires</t>
  </si>
  <si>
    <t>MCF Médecine générale</t>
  </si>
  <si>
    <t>Indic national</t>
  </si>
  <si>
    <t>Détachement entrant</t>
  </si>
  <si>
    <t>Arrivées</t>
  </si>
  <si>
    <t>Départs</t>
  </si>
  <si>
    <t>Total
F</t>
  </si>
  <si>
    <t>Total
H</t>
  </si>
  <si>
    <t>Animations culturelles</t>
  </si>
  <si>
    <t>Tutorat</t>
  </si>
  <si>
    <t>Tutorat PRL</t>
  </si>
  <si>
    <t>Départs temporaires</t>
  </si>
  <si>
    <t>Les délégations</t>
  </si>
  <si>
    <t>20-24 ans</t>
  </si>
  <si>
    <t>25-29 ans</t>
  </si>
  <si>
    <t>30-34 ans</t>
  </si>
  <si>
    <t>35-39 ans</t>
  </si>
  <si>
    <t>40-44 ans</t>
  </si>
  <si>
    <t>45-49 ans</t>
  </si>
  <si>
    <t>50-54 ans</t>
  </si>
  <si>
    <t>55-59 ans</t>
  </si>
  <si>
    <t>60-64 ans</t>
  </si>
  <si>
    <t>65-69 ans</t>
  </si>
  <si>
    <t>Membres</t>
  </si>
  <si>
    <t>dont Présidentes</t>
  </si>
  <si>
    <t>(</t>
  </si>
  <si>
    <t>- limitation du nombre maximal de stagiaires pouvant être accueillis à 15% de l’effectif pour les organismes de plus de 20 salariés</t>
  </si>
  <si>
    <t>- mise en place d’un double suivi des stagiaires par les établissements d’enseignement et par un tuteur désigné dans les organismes d'accueil.</t>
  </si>
  <si>
    <t>- durée des stages limitée à 6 mois dans le même organisme d’accueil au cours de la même année d’enseignement.</t>
  </si>
  <si>
    <t>- intégration du stage dans un cursus de formation dont le volume pédagogique d’enseignement est au minimum de 200 heures en présence de l'étudiant.</t>
  </si>
  <si>
    <t>- de nouveaux droits et une meilleure rémunération pour les stagiaires (hausse de la gratification, tickets restaurants et remboursement des frais de transport, trimestres pour la retraite...)</t>
  </si>
  <si>
    <t>Doctorants salariés</t>
  </si>
  <si>
    <t>Les délégations par grands secteurs</t>
  </si>
  <si>
    <t>Labo</t>
  </si>
  <si>
    <t>Nb invités</t>
  </si>
  <si>
    <t>GATE LSE</t>
  </si>
  <si>
    <t>ICJ</t>
  </si>
  <si>
    <t>LabHC</t>
  </si>
  <si>
    <t>CELEC</t>
  </si>
  <si>
    <t>ITA  (CNRS + INSERM)</t>
  </si>
  <si>
    <t>La recherche en quelques chiffres</t>
  </si>
  <si>
    <t>Perso. Extérieurs- Indem. Jurys</t>
  </si>
  <si>
    <t>Primes et rémunérations connexes aux rémunérations principales</t>
  </si>
  <si>
    <t>Taux
indemnité</t>
  </si>
  <si>
    <t>Epargne</t>
  </si>
  <si>
    <t>Versement RAFP</t>
  </si>
  <si>
    <t>Indemnisation</t>
  </si>
  <si>
    <t>Consommation en jours congés</t>
  </si>
  <si>
    <t>Total
épargne</t>
  </si>
  <si>
    <t>Total
indemnisation</t>
  </si>
  <si>
    <t>Total
consommation</t>
  </si>
  <si>
    <t>M. prof.</t>
  </si>
  <si>
    <t>Saisonnalité des congés ordinaires de maladie (hors congés occasionnés par un accident de travail)</t>
  </si>
  <si>
    <t>Inaptitudes au poste mais aptitude à un autre poste</t>
  </si>
  <si>
    <t>4.4. Politique handicap</t>
  </si>
  <si>
    <t>Politique handicap</t>
  </si>
  <si>
    <t>Dépenses pour accueillir ou maintenir dans l'emploi des personnes lourdement handicapées</t>
  </si>
  <si>
    <t>Remboursement taxis</t>
  </si>
  <si>
    <t>Assistants travailleurs handicapés</t>
  </si>
  <si>
    <t>4.5.</t>
  </si>
  <si>
    <t>Soutien à la pédagogie</t>
  </si>
  <si>
    <t>Sécurité dans les ERP</t>
  </si>
  <si>
    <t>Membres CHSCT</t>
  </si>
  <si>
    <t>Santé et Sécurité nouveaux arrivants</t>
  </si>
  <si>
    <t>Techniques chirurgicales appliquées à l'expérimentation animale</t>
  </si>
  <si>
    <t>Applications et logiciels d'aide à la gestion de la prévention des risques</t>
  </si>
  <si>
    <t>Actions
culturelles</t>
  </si>
  <si>
    <t>4.5. Politique culturelle</t>
  </si>
  <si>
    <t>Dépenses engagées par l'Univesité Jean Monnet pour l'accueil et le maintien dans l'emploi des travailleurs handicapés</t>
  </si>
  <si>
    <t>Effectif des travailleurs handicapés à l'Université Jean Monnet</t>
  </si>
  <si>
    <t>Sensibilisation au handicap</t>
  </si>
  <si>
    <t>1.4.  La recherche en quelques chiffres</t>
  </si>
  <si>
    <t xml:space="preserve">1.4. </t>
  </si>
  <si>
    <t>Hygiène et sécurité</t>
  </si>
  <si>
    <t>Surveillance liée au risque psycho-social (plusieurs visites par agent)</t>
  </si>
  <si>
    <t>La gestion des déchets chimiques et biologiques</t>
  </si>
  <si>
    <t>La loi n° 2014-788 du 10 juillet 2014 tendant au développement, à l'encadrement des stages et à l'amélioration du statut des stagiaires, fixe les règles suivantes :</t>
  </si>
  <si>
    <t>Couples sans enfant</t>
  </si>
  <si>
    <t>Tout employeur occupant au moins vingt salariés est soumis à l’obligation  d’employer 6%  de travailleurs handicapés,  à temps plein ou à temps partiel. Ce taux d’emploi légal est  calculé sur l’ensemble des effectifs (EC et BIATSS), indifféremment du mode de financement (budget Etat ou ressources propres).</t>
  </si>
  <si>
    <t>Plafond d'emplois</t>
  </si>
  <si>
    <t>Effectif global  (en personnes physiques)</t>
  </si>
  <si>
    <t>Démographie</t>
  </si>
  <si>
    <t>Rémunérations principales par type de population</t>
  </si>
  <si>
    <t>Heures complémentaires</t>
  </si>
  <si>
    <t>Garantie individuelle du pouvoir d'achat</t>
  </si>
  <si>
    <t>Chapitre 2 - Rémunérations</t>
  </si>
  <si>
    <t>3.1. Formation des personnels</t>
  </si>
  <si>
    <t>3.2. Entretiens professionnels des personnels BIATSS</t>
  </si>
  <si>
    <t>3.3. Conditions de travail</t>
  </si>
  <si>
    <t>ESAT</t>
  </si>
  <si>
    <t>Etablissement et service d'aide par le travail</t>
  </si>
  <si>
    <t>PERSONNELS BIATSS TITULAIRES</t>
  </si>
  <si>
    <t>PERSONNELS BIATSS CONTRACTUELS</t>
  </si>
  <si>
    <t>PERSONNELS MIS A DISPOSITION DE L'UJM</t>
  </si>
  <si>
    <t>Contrats étudiants</t>
  </si>
  <si>
    <t>Stagiaires-étudiants effectuant des périodes de formation en milieu professionnel</t>
  </si>
  <si>
    <t>Promotions des personnels BIATSS</t>
  </si>
  <si>
    <t>Contingent de promotions national ou académique</t>
  </si>
  <si>
    <t>Recrutements et les départs des personnels BIATSS</t>
  </si>
  <si>
    <t>Recrutements des personnels titulaires</t>
  </si>
  <si>
    <t>Départs des personnels titulaires</t>
  </si>
  <si>
    <t>1.6. Démographie</t>
  </si>
  <si>
    <t>1.3.  Enseignants chercheurs et Enseignants</t>
  </si>
  <si>
    <t>Recrutement des enseignants chercheurs et des enseignants du second degré</t>
  </si>
  <si>
    <t>Promotions des enseignants chercheurs, hors personnels Hospitalo-Universitaires</t>
  </si>
  <si>
    <t>Congés pour recherche ou conversion thématique par grands secteurs</t>
  </si>
  <si>
    <t>Enseignants invités</t>
  </si>
  <si>
    <t>2.2. Rémunérations principales par type de population</t>
  </si>
  <si>
    <t>2.5. Heures complémentaires</t>
  </si>
  <si>
    <t>3.1.  Formation des personnels</t>
  </si>
  <si>
    <t>Formation des personnels BIATSS</t>
  </si>
  <si>
    <t>Spécifique Bibliothèque</t>
  </si>
  <si>
    <t>Formation des personnels enseignants</t>
  </si>
  <si>
    <t>Dispositifs d'accompagnement</t>
  </si>
  <si>
    <t>Dépenses de formation</t>
  </si>
  <si>
    <t>Temps partiel</t>
  </si>
  <si>
    <t>Compte épargne-temps</t>
  </si>
  <si>
    <t>Absentéisme</t>
  </si>
  <si>
    <t>Temps partiel thérapeutique</t>
  </si>
  <si>
    <t>Acteurs de prévention</t>
  </si>
  <si>
    <t>Budget</t>
  </si>
  <si>
    <t>Comité d'Hygiène, de Sécurité et des Conditions de Travail - CHSCT</t>
  </si>
  <si>
    <t>Accidents de service ou de travail (service : pour les fonctionnaires - travail : pour les contractuels)</t>
  </si>
  <si>
    <t>Moyens humains</t>
  </si>
  <si>
    <t>Domaines d'intervention de l'assistante de service social</t>
  </si>
  <si>
    <t>Prestations sociales</t>
  </si>
  <si>
    <t>EC
Cont.</t>
  </si>
  <si>
    <t>Eff titu</t>
  </si>
  <si>
    <t>Appui aux personnels bibliothèque</t>
  </si>
  <si>
    <t>UFR des Sciences</t>
  </si>
  <si>
    <t>UFR de Médecine</t>
  </si>
  <si>
    <t>IUT de Saint-Etienne</t>
  </si>
  <si>
    <t>Laboratoire Hubert Curien</t>
  </si>
  <si>
    <t>Composantes ou services</t>
  </si>
  <si>
    <t xml:space="preserve"> </t>
  </si>
  <si>
    <t>20-30 ans</t>
  </si>
  <si>
    <t>31-35 ans</t>
  </si>
  <si>
    <t>Chercheur CDD</t>
  </si>
  <si>
    <t>HU</t>
  </si>
  <si>
    <t>CDD de type 2d degré</t>
  </si>
  <si>
    <t>Répartition des types de CDD sur les tranches d'âges 20-30 et 31-35 ans</t>
  </si>
  <si>
    <t>Temps partiel des personnels Biatss :</t>
  </si>
  <si>
    <t>Temps partiel des des personnels enseignants :</t>
  </si>
  <si>
    <t>Radioprotection</t>
  </si>
  <si>
    <t>4.3.  Participation aux frais de transport</t>
  </si>
  <si>
    <t xml:space="preserve">Personnels enseignants </t>
  </si>
  <si>
    <t xml:space="preserve">Personnels BIATSS </t>
  </si>
  <si>
    <t xml:space="preserve">Total </t>
  </si>
  <si>
    <t>Nb CLM</t>
  </si>
  <si>
    <t>Durée moyenne</t>
  </si>
  <si>
    <t>Nb CLD</t>
  </si>
  <si>
    <t>Nb AT sans arrêt</t>
  </si>
  <si>
    <t>CLM - Congé longue maladie</t>
  </si>
  <si>
    <t>CLD - Congé longue durée</t>
  </si>
  <si>
    <t>AT - Accident du travail</t>
  </si>
  <si>
    <t>Enseignants-es chercheurs-euses et les enseignants-tes</t>
  </si>
  <si>
    <t>Des actions et informations sont régulièrement organisées par le Service d'Hygiène et Sécurité dans les domaines ci-dessous.</t>
  </si>
  <si>
    <t>Factures réglées aux ateliers protégés</t>
  </si>
  <si>
    <t>Progression cumulée des signatures de CDI consécutifs à un CDD</t>
  </si>
  <si>
    <t>Montant de la contribution de l'Université</t>
  </si>
  <si>
    <t>Aides études supérieures</t>
  </si>
  <si>
    <t>Sciences et Technologies</t>
  </si>
  <si>
    <t>Nombre d'heures-stagiaires aux formations portant sur le handicap</t>
  </si>
  <si>
    <t>Effectifs en ETP dans les unités de recherche</t>
  </si>
  <si>
    <t>CDD sur
besoins permanents</t>
  </si>
  <si>
    <t>Nombre d'heures rémunérées par missions</t>
  </si>
  <si>
    <t>Personnels contractuels Biatss</t>
  </si>
  <si>
    <t>Composition des comités de sélection pour le
recrutement des enseignants-es chercheurs-seuses</t>
  </si>
  <si>
    <t>Les femmes et les responsabilités de Vice Président-e et de chargée de mission</t>
  </si>
  <si>
    <t>Egale ou sup. à 5 j.</t>
  </si>
  <si>
    <t>Nb
arrêts</t>
  </si>
  <si>
    <t>Effectif réellement pris en charge</t>
  </si>
  <si>
    <r>
      <t xml:space="preserve">1 assistante de gestion ( </t>
    </r>
    <r>
      <rPr>
        <sz val="8"/>
        <rFont val="Calibri"/>
        <family val="2"/>
      </rPr>
      <t>30%</t>
    </r>
    <r>
      <rPr>
        <sz val="8"/>
        <color theme="4" tint="-0.249977111117893"/>
        <rFont val="Calibri"/>
        <family val="2"/>
      </rPr>
      <t>)</t>
    </r>
  </si>
  <si>
    <t>L'employeur est tenu de prendre, en fonction des besoins dans une situation concrète,les mesures appropriées pour permettre aux travailleurs handicapés d'accéder à un emploi ou de conserver un emploi correspondant à leur qualification, de l'exercer et d'y progresser.</t>
  </si>
  <si>
    <t>Rémunération des personnels affectés à des missions d'aide à l'accueil, à l'intégration et à l'accompagnement des élèves ou étudiants handicapés au sein des établissements dont les étudiants sont sous contrats avec mission d'accueil d'étudiants en situation de handicap</t>
  </si>
  <si>
    <t>Les moyens humains</t>
  </si>
  <si>
    <t>(3)</t>
  </si>
  <si>
    <t>(1) dont EC médecine générale</t>
  </si>
  <si>
    <t>(2) dont les surnombres</t>
  </si>
  <si>
    <t>(3)dont contrats doctoraux et chercheurs CDD</t>
  </si>
  <si>
    <t>PR Médecine générale</t>
  </si>
  <si>
    <t>Chef clin méd géné</t>
  </si>
  <si>
    <t xml:space="preserve">                              </t>
  </si>
  <si>
    <t>Démission</t>
  </si>
  <si>
    <t>Fin de fonction</t>
  </si>
  <si>
    <t>LMV</t>
  </si>
  <si>
    <t>UFR de Droit</t>
  </si>
  <si>
    <t>Nb
stagiaires</t>
  </si>
  <si>
    <t>Risques écran</t>
  </si>
  <si>
    <t>Manipulation gaz</t>
  </si>
  <si>
    <t>Logiciel intrusion</t>
  </si>
  <si>
    <t>Risques chimiques</t>
  </si>
  <si>
    <t>-</t>
  </si>
  <si>
    <t>EC Médecine générale</t>
  </si>
  <si>
    <t>Formation Continue</t>
  </si>
  <si>
    <t>(1)  (2)</t>
  </si>
  <si>
    <t>Informatique-Bureautique-Scientifique</t>
  </si>
  <si>
    <t>L'assistante de service social effectue des permanences sur les campus : Carnot, Métare, Roanne, et Santé.</t>
  </si>
  <si>
    <t>Chercheurs en CDI</t>
  </si>
  <si>
    <t>EC CDD</t>
  </si>
  <si>
    <t>1 pt</t>
  </si>
  <si>
    <t>Ensemble du personnels</t>
  </si>
  <si>
    <t>Télétravail</t>
  </si>
  <si>
    <t>Bibliothèque Universitaire</t>
  </si>
  <si>
    <t>Direction de l'International</t>
  </si>
  <si>
    <t>Aménagements de poste</t>
  </si>
  <si>
    <t>Autres dépenses (appareils auditifs, boîtes automatiques, etc.)</t>
  </si>
  <si>
    <t>MCF ECH EXC</t>
  </si>
  <si>
    <t>effectif concerné au 31/12</t>
  </si>
  <si>
    <t>nbr cet</t>
  </si>
  <si>
    <t>nbr alimenté</t>
  </si>
  <si>
    <t>Effectif promouvables</t>
  </si>
  <si>
    <t>Effectif ayant déposé un dossier</t>
  </si>
  <si>
    <t>part de femmes promu</t>
  </si>
  <si>
    <t>Total/genre</t>
  </si>
  <si>
    <t>Travaux d'accessibilité des locaux</t>
  </si>
  <si>
    <t>PUPH 8%</t>
  </si>
  <si>
    <t>PAST 2%</t>
  </si>
  <si>
    <t>HU contractuels 8%</t>
  </si>
  <si>
    <t xml:space="preserve"> Lecteurs 1%</t>
  </si>
  <si>
    <t>Observation au 01/01/2019</t>
  </si>
  <si>
    <t>Pyramide des âges des Professeurs d'Université</t>
  </si>
  <si>
    <t>Pyramide des âges des Maîtres de Conférences</t>
  </si>
  <si>
    <t>Pyramide des âges des Enseignants</t>
  </si>
  <si>
    <t xml:space="preserve">Pyramide des âges des BIATSS </t>
  </si>
  <si>
    <t>BIATSS cat. A</t>
  </si>
  <si>
    <t>BIATSS cat. B</t>
  </si>
  <si>
    <t>BIATSS cat. C</t>
  </si>
  <si>
    <t>PU</t>
  </si>
  <si>
    <t>PR Méd. Géné.</t>
  </si>
  <si>
    <t>MCF PH</t>
  </si>
  <si>
    <t>Agrégé</t>
  </si>
  <si>
    <t>Certifié</t>
  </si>
  <si>
    <t>1 à 90%</t>
  </si>
  <si>
    <t>Nb
étudiants *</t>
  </si>
  <si>
    <t>Grossesse/couche pathologique</t>
  </si>
  <si>
    <t>4.2. Service social et Action sociale</t>
  </si>
  <si>
    <t>Situations de changement (séparation, naissance,…), logement, famille (éducation), budget (difficultés finacières passagères, endettement, rémunération), instruction de dossiers d'aides et de prêts, accès aux droits.</t>
  </si>
  <si>
    <t>Catégories socio-professionnelles</t>
  </si>
  <si>
    <t>% promouvable</t>
  </si>
  <si>
    <t>% promu/dépôt dossier</t>
  </si>
  <si>
    <t>Direction du Numérique</t>
  </si>
  <si>
    <t>ens</t>
  </si>
  <si>
    <t>biatss</t>
  </si>
  <si>
    <t>cat A</t>
  </si>
  <si>
    <t>cat B</t>
  </si>
  <si>
    <t>cat C</t>
  </si>
  <si>
    <t>Ministère</t>
  </si>
  <si>
    <t>49 ans</t>
  </si>
  <si>
    <t>Accident trajet 2019</t>
  </si>
  <si>
    <t>Accident service/travail 2019</t>
  </si>
  <si>
    <t>Composition des jurys de concours ITRF</t>
  </si>
  <si>
    <t>% des redéploiement par rapport aux  publications</t>
  </si>
  <si>
    <t>Informatique - Bureautique - Scientifique</t>
  </si>
  <si>
    <t>* : contrats de recherche inclus</t>
  </si>
  <si>
    <t>NC</t>
  </si>
  <si>
    <t>PR 13%</t>
  </si>
  <si>
    <t>MCPH 3%</t>
  </si>
  <si>
    <t xml:space="preserve"> Contractuels</t>
  </si>
  <si>
    <t>Mis à disposition</t>
  </si>
  <si>
    <t>dont F</t>
  </si>
  <si>
    <t>1 responsable administrative</t>
  </si>
  <si>
    <t xml:space="preserve">1 assistante de gestion </t>
  </si>
  <si>
    <t>non reconduit</t>
  </si>
  <si>
    <t>1 spectacle + 1 ciné matrus 205</t>
  </si>
  <si>
    <t>pas de visites covid</t>
  </si>
  <si>
    <t>pas de fest'u covid</t>
  </si>
  <si>
    <t>433 bons cadeaux</t>
  </si>
  <si>
    <t>26 adhésions</t>
  </si>
  <si>
    <t>pas de vente covid</t>
  </si>
  <si>
    <t>dont Femmes</t>
  </si>
  <si>
    <t>en 2020</t>
  </si>
  <si>
    <t>Décès</t>
  </si>
  <si>
    <t>Intégration</t>
  </si>
  <si>
    <t>HCERES</t>
  </si>
  <si>
    <t>IUF</t>
  </si>
  <si>
    <t>18-19 ans</t>
  </si>
  <si>
    <t>Observation au 01/01/2020</t>
  </si>
  <si>
    <t>65-70 ans</t>
  </si>
  <si>
    <t>Accident service/travail 2020</t>
  </si>
  <si>
    <t>Accident trajet 2020</t>
  </si>
  <si>
    <t>Nb AT avec arrêt</t>
  </si>
  <si>
    <t>336 j</t>
  </si>
  <si>
    <t>238 j</t>
  </si>
  <si>
    <t>total</t>
  </si>
  <si>
    <t>elévé un enfant</t>
  </si>
  <si>
    <t>handi</t>
  </si>
  <si>
    <t>Stagiaires 2020</t>
  </si>
  <si>
    <t>Nombre d'heures-stagiaires 2020</t>
  </si>
  <si>
    <t>Plafond 2020</t>
  </si>
  <si>
    <t>Consommation
2020</t>
  </si>
  <si>
    <t>Coût moyen annuel 2020</t>
  </si>
  <si>
    <t>COACTIS</t>
  </si>
  <si>
    <t>NSP</t>
  </si>
  <si>
    <t>dont femmes</t>
  </si>
  <si>
    <t>Mouvements des comptes épargne-temps sur 2020</t>
  </si>
  <si>
    <t>Total 2019-2020</t>
  </si>
  <si>
    <t>44 ans</t>
  </si>
  <si>
    <t>(source : Bilan Social MESRI 2018-2019)</t>
  </si>
  <si>
    <t>Chercheurs hébérgés (CNRS-INSERM-EFS-ESCPE-IOGS)</t>
  </si>
  <si>
    <t>2019/2020</t>
  </si>
  <si>
    <t>1 personnel BIATSS à 50%</t>
  </si>
  <si>
    <t>1 personnel BIATSS à 100%</t>
  </si>
  <si>
    <t>Indemnisation en 2020 des jours épargnés</t>
  </si>
  <si>
    <t>MCF 34%</t>
  </si>
  <si>
    <t>2018-2019</t>
  </si>
  <si>
    <t>2019-2020</t>
  </si>
  <si>
    <t>Cherch. Cont.</t>
  </si>
  <si>
    <t>Evolution</t>
  </si>
  <si>
    <t>évolution de l'effectif étudiant</t>
  </si>
  <si>
    <t>Les personnels en position de détachement et de disponiblité sont exclus.</t>
  </si>
  <si>
    <t>Autres</t>
  </si>
  <si>
    <r>
      <t>1.5.  Personnels BIATSS permanents</t>
    </r>
    <r>
      <rPr>
        <b/>
        <sz val="9"/>
        <color theme="0" tint="-0.499984740745262"/>
        <rFont val="Calibri"/>
        <family val="2"/>
      </rPr>
      <t xml:space="preserve"> (</t>
    </r>
    <r>
      <rPr>
        <b/>
        <u/>
        <sz val="9"/>
        <color theme="0" tint="-0.499984740745262"/>
        <rFont val="Calibri"/>
        <family val="2"/>
      </rPr>
      <t>hors contractuels non permanents</t>
    </r>
    <r>
      <rPr>
        <b/>
        <sz val="9"/>
        <color theme="0" tint="-0.499984740745262"/>
        <rFont val="Calibri"/>
        <family val="2"/>
      </rPr>
      <t>)</t>
    </r>
  </si>
  <si>
    <t>50 j</t>
  </si>
  <si>
    <t>Enseignants chercheurs
(Titulaires + ATER + EC CDD)</t>
  </si>
  <si>
    <t xml:space="preserve"> 2019/2020</t>
  </si>
  <si>
    <t>ALL- SHS</t>
  </si>
  <si>
    <t>42 ans</t>
  </si>
  <si>
    <t>36 ans</t>
  </si>
  <si>
    <t>43 ans</t>
  </si>
  <si>
    <t>37 ans</t>
  </si>
  <si>
    <t>Montant MS</t>
  </si>
  <si>
    <t>Montant total SFT</t>
  </si>
  <si>
    <t>% MS</t>
  </si>
  <si>
    <t>Nb bénéficiaire SFT</t>
  </si>
  <si>
    <t>2.4. Eléments de rémunérations connexes aux rémunérations principales</t>
  </si>
  <si>
    <t xml:space="preserve">Evolutions MS </t>
  </si>
  <si>
    <t>MS Ressources Propres</t>
  </si>
  <si>
    <t>MS Totale</t>
  </si>
  <si>
    <t>Part des RP la MS Totale</t>
  </si>
  <si>
    <t>Nb stagiaires 2019</t>
  </si>
  <si>
    <t>Nb stagiaires 2020</t>
  </si>
  <si>
    <t>Fournitures</t>
  </si>
  <si>
    <t>Plafond 2021</t>
  </si>
  <si>
    <t>Consommation
2021</t>
  </si>
  <si>
    <t>(personnels en position de détachement et de disponibilité exclus; doctorants, post-doctorants et professeurs invités exclus)</t>
  </si>
  <si>
    <t>Année universitaire 2021/2022</t>
  </si>
  <si>
    <t>21 j</t>
  </si>
  <si>
    <t>272 j</t>
  </si>
  <si>
    <t>143 j</t>
  </si>
  <si>
    <t>Indemnisation en 2021 des jours épargnés</t>
  </si>
  <si>
    <t>Mouvements des comptes épargne-temps sur 2021</t>
  </si>
  <si>
    <t>Total
Versement RAFP</t>
  </si>
  <si>
    <t>Total 2020-2021</t>
  </si>
  <si>
    <t>20-24</t>
  </si>
  <si>
    <t>25-29</t>
  </si>
  <si>
    <t>30-34</t>
  </si>
  <si>
    <t>35-39</t>
  </si>
  <si>
    <t>40-44</t>
  </si>
  <si>
    <t>45-49</t>
  </si>
  <si>
    <t>50-54</t>
  </si>
  <si>
    <t>55-59</t>
  </si>
  <si>
    <t>60-64</t>
  </si>
  <si>
    <t>Observation au 31/12/2021</t>
  </si>
  <si>
    <t>48,7 ans</t>
  </si>
  <si>
    <t>50 ans</t>
  </si>
  <si>
    <t>48,9 ans</t>
  </si>
  <si>
    <t>47,9 ans</t>
  </si>
  <si>
    <t>48,5 ans</t>
  </si>
  <si>
    <t>52 ans</t>
  </si>
  <si>
    <t>49,2 ans</t>
  </si>
  <si>
    <t>48,3 ans</t>
  </si>
  <si>
    <t>49,1 ans</t>
  </si>
  <si>
    <t>42,9 ans</t>
  </si>
  <si>
    <t>43,4 ans</t>
  </si>
  <si>
    <t>43,1 ans</t>
  </si>
  <si>
    <t>42,7 ans</t>
  </si>
  <si>
    <t>43,3 ans</t>
  </si>
  <si>
    <t>40,8 ans</t>
  </si>
  <si>
    <t>39,9 ans</t>
  </si>
  <si>
    <t>35 ans</t>
  </si>
  <si>
    <t>40,6 ans</t>
  </si>
  <si>
    <t>45,1 ans</t>
  </si>
  <si>
    <t>45,8 ans</t>
  </si>
  <si>
    <t>45,4 ans</t>
  </si>
  <si>
    <t>34,9 ans</t>
  </si>
  <si>
    <t>35,3 ans</t>
  </si>
  <si>
    <t>32 ans</t>
  </si>
  <si>
    <t>34 ans</t>
  </si>
  <si>
    <t>33,4 ans</t>
  </si>
  <si>
    <t>31 ans</t>
  </si>
  <si>
    <t>33,9 ans</t>
  </si>
  <si>
    <t>30 ans</t>
  </si>
  <si>
    <t>33,6 ans</t>
  </si>
  <si>
    <t>31,9 ans</t>
  </si>
  <si>
    <t>31,6 ans</t>
  </si>
  <si>
    <t>28 ans</t>
  </si>
  <si>
    <t>31,8 ans</t>
  </si>
  <si>
    <t>37,4 ans</t>
  </si>
  <si>
    <t>40,2 ans</t>
  </si>
  <si>
    <t>40 ans</t>
  </si>
  <si>
    <t>38 ans</t>
  </si>
  <si>
    <t>Pyramide des âges des personnels Enseignants titulaires au 31/12/2021</t>
  </si>
  <si>
    <t>évolution 2020-2021</t>
  </si>
  <si>
    <t>50,4 ans</t>
  </si>
  <si>
    <t>51 ans</t>
  </si>
  <si>
    <t>49,7 ans</t>
  </si>
  <si>
    <t>30,8 ans</t>
  </si>
  <si>
    <t>29 ans</t>
  </si>
  <si>
    <t>31,5 ans</t>
  </si>
  <si>
    <t>5 pts</t>
  </si>
  <si>
    <t>40,9 ans</t>
  </si>
  <si>
    <t>41,7 ans</t>
  </si>
  <si>
    <t>41,3 ans</t>
  </si>
  <si>
    <t>40,1 ans</t>
  </si>
  <si>
    <t>41,4 ans</t>
  </si>
  <si>
    <t>44,2 ans</t>
  </si>
  <si>
    <t>44,9 ans</t>
  </si>
  <si>
    <t>44,4 ans</t>
  </si>
  <si>
    <t>43,5 ans</t>
  </si>
  <si>
    <t xml:space="preserve">46 ans </t>
  </si>
  <si>
    <t xml:space="preserve">43,9 ans </t>
  </si>
  <si>
    <t>48,4 ans</t>
  </si>
  <si>
    <t>48,1 ans</t>
  </si>
  <si>
    <t>(source : Bilan Social MESRI 2019-2020)</t>
  </si>
  <si>
    <t>&lt; 20 ans</t>
  </si>
  <si>
    <t>&gt; 65 ans</t>
  </si>
  <si>
    <t>2020/2021</t>
  </si>
  <si>
    <t>2020-2021</t>
  </si>
  <si>
    <t>Saisine de la cellule d'alerte DHVSS et CVS</t>
  </si>
  <si>
    <t>SNA</t>
  </si>
  <si>
    <r>
      <t xml:space="preserve">Chercheurs </t>
    </r>
    <r>
      <rPr>
        <sz val="8"/>
        <color theme="3" tint="-0.249977111117893"/>
        <rFont val="Calibri"/>
        <family val="2"/>
      </rPr>
      <t>hébérgés</t>
    </r>
    <r>
      <rPr>
        <sz val="8"/>
        <color theme="4" tint="-0.249977111117893"/>
        <rFont val="Calibri"/>
        <family val="2"/>
      </rPr>
      <t xml:space="preserve"> (CNRS-INSERM-EFS-ESCPE-IOGS)</t>
    </r>
  </si>
  <si>
    <t>Chercheurs contractuels *</t>
  </si>
  <si>
    <t>Pyramides des âges des personnels  (Enseignants et BIATSS - Titulaires et contractuels)</t>
  </si>
  <si>
    <t>en 2021</t>
  </si>
  <si>
    <t>Observation 2018 - 2019 - 2020 - 2021</t>
  </si>
  <si>
    <t>Accueil et assistance étudiants handicapés</t>
  </si>
  <si>
    <t>Observation : année universitaire 2020/2021</t>
  </si>
  <si>
    <t>UFR des Sciences Humaines et Sociales</t>
  </si>
  <si>
    <t>Direction des Ressources Humaines</t>
  </si>
  <si>
    <t>IUT de Roanne</t>
  </si>
  <si>
    <t>3 spectacles</t>
  </si>
  <si>
    <t>1 sortie</t>
  </si>
  <si>
    <t>260 bons cadeaux</t>
  </si>
  <si>
    <t>1 voyage</t>
  </si>
  <si>
    <t>103 adhésions</t>
  </si>
  <si>
    <t>Annulé - COVID</t>
  </si>
  <si>
    <t>1 Ingénieur d'études à 100%
Conseillère Prévention</t>
  </si>
  <si>
    <t>32 assistants de prévention (AP) (+ 2 par rapport à 2020/ 3 démissions sur 2021)
• 5 AP consacrent 10 % de leur temps de travail à cette mission.
• 3 AP consacrent 15% de leur temps de travail à cette mission.
• Aucune précision n’est apportée sur les lettres de mission des autres AP.</t>
  </si>
  <si>
    <t>124 sauveteurs secouristes du travail dont 24 % sont des enseignants (en augmentation)</t>
  </si>
  <si>
    <t>- Utilisation d'Agents Chimiques Dangereux (ACD) 
- Analyses aux poste de travail ou analyse de nouveaux protocoles expérimentaux 
- Habilitations et autorisation de conduite (Electricité, Autoclaves, plateformes de travail, échafaudage) 
- Champs Electromagnétiques (CEM) 
- Risques liés aux agents biologiques 
- Campagne radon
- Expérimentation animale et agrément 
- Risque de chute de hauteur 
- Risques liés aux rayonnements ionisants et constitution de dossiers ASN.
- Conseils ou  visites de laboratoires en matière de prévention des risques professionnels ou suivi de dossiers.
- Réalisation de mesures (nuisances sonores/radioprotection)</t>
  </si>
  <si>
    <t>Coût moyen annuel 2021</t>
  </si>
  <si>
    <t>2.3. Coûts moyens des personnels titulaires (hors indemnitaire)</t>
  </si>
  <si>
    <t>Observation 2019 - 2020 - 2021</t>
  </si>
  <si>
    <t>Il s'agit d'un coût cotisations patronales comprises .</t>
  </si>
  <si>
    <t>Accident service/travail 2021</t>
  </si>
  <si>
    <t>Accident trajet 2021</t>
  </si>
  <si>
    <t>2 pts</t>
  </si>
  <si>
    <t>Nombre d'heures-stagiaires 2021</t>
  </si>
  <si>
    <t>Stagiaires 2021</t>
  </si>
  <si>
    <t>Nb stagiaires 2021</t>
  </si>
  <si>
    <t>Risques amiante</t>
  </si>
  <si>
    <t>1ers secours en santé mentale</t>
  </si>
  <si>
    <r>
      <t xml:space="preserve">1.2. Effectif global au </t>
    </r>
    <r>
      <rPr>
        <u/>
        <sz val="16"/>
        <color theme="0" tint="-0.499984740745262"/>
        <rFont val="Calibri"/>
        <family val="2"/>
      </rPr>
      <t>31/12/2022</t>
    </r>
    <r>
      <rPr>
        <sz val="16"/>
        <color theme="0" tint="-0.499984740745262"/>
        <rFont val="Calibri"/>
        <family val="2"/>
      </rPr>
      <t xml:space="preserve"> (en personnes physiques)</t>
    </r>
  </si>
  <si>
    <r>
      <t xml:space="preserve">Effectif global au </t>
    </r>
    <r>
      <rPr>
        <u/>
        <sz val="16"/>
        <color theme="0" tint="-0.499984740745262"/>
        <rFont val="Calibri"/>
        <family val="2"/>
      </rPr>
      <t>31/12/2021</t>
    </r>
    <r>
      <rPr>
        <sz val="16"/>
        <color theme="0" tint="-0.499984740745262"/>
        <rFont val="Calibri"/>
        <family val="2"/>
      </rPr>
      <t xml:space="preserve"> (en personnes physiques)</t>
    </r>
  </si>
  <si>
    <r>
      <t xml:space="preserve">Effectif global au </t>
    </r>
    <r>
      <rPr>
        <u/>
        <sz val="16"/>
        <color theme="0" tint="-0.499984740745262"/>
        <rFont val="Calibri"/>
        <family val="2"/>
      </rPr>
      <t>01/01/2020</t>
    </r>
    <r>
      <rPr>
        <sz val="16"/>
        <color theme="0" tint="-0.499984740745262"/>
        <rFont val="Calibri"/>
        <family val="2"/>
      </rPr>
      <t xml:space="preserve"> (en personnes physiques)</t>
    </r>
  </si>
  <si>
    <t>2d degré 20%</t>
  </si>
  <si>
    <t>Observation au 31/12/2020, 31/12/2021 et 31/12/2022</t>
  </si>
  <si>
    <t>ECOLE ECONOMIE</t>
  </si>
  <si>
    <t>2021-2022</t>
  </si>
  <si>
    <t>2022-2023</t>
  </si>
  <si>
    <t>Rupture conventionnelle</t>
  </si>
  <si>
    <t>Prof EPS</t>
  </si>
  <si>
    <t>Départs de l'année 2022</t>
  </si>
  <si>
    <t>Année civile 2022</t>
  </si>
  <si>
    <t>Enseignants CDD/CDI 5%</t>
  </si>
  <si>
    <t>ATER 3%</t>
  </si>
  <si>
    <t>Chercheurs Contractuels 5%</t>
  </si>
  <si>
    <t>Observation au 31/12/2020, au 31/12/2021 et au 31/12/2022</t>
  </si>
  <si>
    <t>Observation : années civiles 2020, 2021 et 2022</t>
  </si>
  <si>
    <t>Observation 31/12/2020, 31/12/2021 et 31/12/2022</t>
  </si>
  <si>
    <t>Observation au 31/12/2022</t>
  </si>
  <si>
    <t>Pyramide des âges des personnels titulaires au 31/12/2022 (Enseignants et BIATSS)</t>
  </si>
  <si>
    <t>Pyramide des âges des personnels contractuels au 31/12/2022(Enseignants et BIATSS)</t>
  </si>
  <si>
    <t>au 31/12/2022</t>
  </si>
  <si>
    <t xml:space="preserve"> au 31/12/2022</t>
  </si>
  <si>
    <t xml:space="preserve"> du 2nd degré au 31/12/2022</t>
  </si>
  <si>
    <t>Pyramide des âges des personnels enseignants en CDD au 31/12/2022</t>
  </si>
  <si>
    <t>Pyramide des âges des personnels titulaires BIATSS au 31/12/2022</t>
  </si>
  <si>
    <t>de catégorie A au 31/12/2022</t>
  </si>
  <si>
    <t>de catégorie B au 31/12/2022</t>
  </si>
  <si>
    <t>de catégorie C au 31/12/2022</t>
  </si>
  <si>
    <t>Pyramide des âges des personnels BIATSS en CDI au 31/12/2022</t>
  </si>
  <si>
    <t>Pyramide des âges des personnels BIATSS en CDD au 31/12/2022</t>
  </si>
  <si>
    <t>48,8 ans</t>
  </si>
  <si>
    <t>50,3 ans</t>
  </si>
  <si>
    <t>49,4 ans</t>
  </si>
  <si>
    <t>49,0 ans</t>
  </si>
  <si>
    <t>50,9 ans</t>
  </si>
  <si>
    <t>53 ans</t>
  </si>
  <si>
    <t>49,5 ans</t>
  </si>
  <si>
    <t>49,6 ans</t>
  </si>
  <si>
    <t>47,4 ans</t>
  </si>
  <si>
    <t>46,8 ans</t>
  </si>
  <si>
    <t>47,1 ans</t>
  </si>
  <si>
    <t>42,0 ans</t>
  </si>
  <si>
    <t>42,4 ans</t>
  </si>
  <si>
    <t>41,5 ans</t>
  </si>
  <si>
    <t>39 ans</t>
  </si>
  <si>
    <t>41,0 ans</t>
  </si>
  <si>
    <t>39,0 ans</t>
  </si>
  <si>
    <t>40,4 ans</t>
  </si>
  <si>
    <t>47,0 ans</t>
  </si>
  <si>
    <t>44,5 ans</t>
  </si>
  <si>
    <t>31,0 ans</t>
  </si>
  <si>
    <t>30,9 ans</t>
  </si>
  <si>
    <t>36,7 ans</t>
  </si>
  <si>
    <t>35,4 ans</t>
  </si>
  <si>
    <t>36,3 ans</t>
  </si>
  <si>
    <t>34,3 ans</t>
  </si>
  <si>
    <t>36,2 ans</t>
  </si>
  <si>
    <t>35,2 ans</t>
  </si>
  <si>
    <t>36,5 ans</t>
  </si>
  <si>
    <t>31,4 ans</t>
  </si>
  <si>
    <t>33 ans</t>
  </si>
  <si>
    <t>37,8 ans</t>
  </si>
  <si>
    <t>37,7 ans</t>
  </si>
  <si>
    <t>43,9 ans</t>
  </si>
  <si>
    <t>44,3 ans</t>
  </si>
  <si>
    <t>45,2 ans</t>
  </si>
  <si>
    <t xml:space="preserve">45 ans </t>
  </si>
  <si>
    <t>45,6 ans</t>
  </si>
  <si>
    <t xml:space="preserve">44,7 ans </t>
  </si>
  <si>
    <t>141 j</t>
  </si>
  <si>
    <t>13 j</t>
  </si>
  <si>
    <t>Observation 2020 - 2021 - 2022</t>
  </si>
  <si>
    <t>CPE/CE</t>
  </si>
  <si>
    <t>2021/2022</t>
  </si>
  <si>
    <t>Observation sur  2022 - 2023 - 2024 - 2025 et 2026</t>
  </si>
  <si>
    <t>Total 2021-2022</t>
  </si>
  <si>
    <t>(104 en 2021)</t>
  </si>
  <si>
    <t>(270 en 2021)</t>
  </si>
  <si>
    <r>
      <rPr>
        <sz val="8"/>
        <color rgb="FF00B050"/>
        <rFont val="Calibri"/>
        <family val="2"/>
      </rPr>
      <t>99</t>
    </r>
    <r>
      <rPr>
        <sz val="8"/>
        <color theme="4" tint="-0.249977111117893"/>
        <rFont val="Calibri"/>
        <family val="2"/>
      </rPr>
      <t xml:space="preserve"> personnes identifiées</t>
    </r>
  </si>
  <si>
    <r>
      <rPr>
        <sz val="8"/>
        <color rgb="FF00B050"/>
        <rFont val="Calibri"/>
        <family val="2"/>
      </rPr>
      <t>228</t>
    </r>
    <r>
      <rPr>
        <sz val="8"/>
        <color theme="4" tint="-0.249977111117893"/>
        <rFont val="Calibri"/>
        <family val="2"/>
      </rPr>
      <t xml:space="preserve"> entretiens effectués</t>
    </r>
  </si>
  <si>
    <t>Congé paternité / Accueil d'enfant</t>
  </si>
  <si>
    <t>CMW</t>
  </si>
  <si>
    <t>CRNL - ENES</t>
  </si>
  <si>
    <t>ECLLA</t>
  </si>
  <si>
    <t>LASPI</t>
  </si>
  <si>
    <t>LGL - TPE</t>
  </si>
  <si>
    <t>SAINBIOSE</t>
  </si>
  <si>
    <t>Observation : année universitaire 2021/2022</t>
  </si>
  <si>
    <t>Observation année universitaire 2021-2022</t>
  </si>
  <si>
    <t>Observation année universitaire 2019-2020, 2020-2021 et 2021-2022</t>
  </si>
  <si>
    <t>Indemnisation en 2022 des jours épargnés</t>
  </si>
  <si>
    <t>Mouvements des comptes épargne-temps sur 2022</t>
  </si>
  <si>
    <t>3 à 50%</t>
  </si>
  <si>
    <t>6 à 80 %</t>
  </si>
  <si>
    <t>79 personnels Biatss ont opté pour le temps partiel en 2021-2022, dont 63 femmes, contre 89 personnels, dont 76 femmes en 2020-2021.</t>
  </si>
  <si>
    <t>10 personnels enseignants ont opté pour le temps partiel en 2021-2022, dont 6 femmes.</t>
  </si>
  <si>
    <r>
      <t>* Hors étudiants inscrits en Ecoles Doctorales (</t>
    </r>
    <r>
      <rPr>
        <sz val="8"/>
        <color rgb="FF00B050"/>
        <rFont val="Calibri"/>
        <family val="2"/>
      </rPr>
      <t>342</t>
    </r>
    <r>
      <rPr>
        <sz val="8"/>
        <color theme="0" tint="-0.499984740745262"/>
        <rFont val="Calibri"/>
        <family val="2"/>
      </rPr>
      <t>) et Institut de formation en soins infirmiers (</t>
    </r>
    <r>
      <rPr>
        <sz val="8"/>
        <color rgb="FF00B050"/>
        <rFont val="Calibri"/>
        <family val="2"/>
      </rPr>
      <t>1864</t>
    </r>
    <r>
      <rPr>
        <sz val="8"/>
        <color theme="0" tint="-0.499984740745262"/>
        <rFont val="Calibri"/>
        <family val="2"/>
      </rPr>
      <t>)</t>
    </r>
  </si>
  <si>
    <r>
      <rPr>
        <sz val="8"/>
        <color theme="3" tint="-0.499984740745262"/>
        <rFont val="Calibri"/>
        <family val="2"/>
      </rPr>
      <t>Le coût de l'élimination des déchets spéciaux a représenté</t>
    </r>
    <r>
      <rPr>
        <sz val="8"/>
        <color rgb="FFFF0000"/>
        <rFont val="Calibri"/>
        <family val="2"/>
      </rPr>
      <t xml:space="preserve"> </t>
    </r>
    <r>
      <rPr>
        <sz val="8"/>
        <color rgb="FF00B050"/>
        <rFont val="Calibri"/>
        <family val="2"/>
      </rPr>
      <t>38 500 €</t>
    </r>
    <r>
      <rPr>
        <sz val="8"/>
        <color theme="3" tint="-0.499984740745262"/>
        <rFont val="Calibri"/>
        <family val="2"/>
      </rPr>
      <t xml:space="preserve"> pour l'année </t>
    </r>
    <r>
      <rPr>
        <sz val="8"/>
        <color rgb="FF00B050"/>
        <rFont val="Calibri"/>
        <family val="2"/>
      </rPr>
      <t>2022 pour un total de 17 t de déchets évacués</t>
    </r>
    <r>
      <rPr>
        <sz val="8"/>
        <color rgb="FFFF0000"/>
        <rFont val="Calibri"/>
        <family val="2"/>
      </rPr>
      <t>.</t>
    </r>
  </si>
  <si>
    <r>
      <rPr>
        <sz val="12"/>
        <color rgb="FF00B050"/>
        <rFont val="Calibri"/>
        <family val="2"/>
      </rPr>
      <t>297</t>
    </r>
    <r>
      <rPr>
        <sz val="10"/>
        <color theme="0" tint="-0.499984740745262"/>
        <rFont val="Calibri"/>
        <family val="2"/>
      </rPr>
      <t xml:space="preserve"> stagiaires ont été accueillis à l'Université Jean Monnet sur l'année universitaire 2020/2021, répartis dans les composantes et services de la manière suivante :</t>
    </r>
  </si>
  <si>
    <t>Direction du Patrimoine</t>
  </si>
  <si>
    <t>UFR d'Arts, Lettres, Langues</t>
  </si>
  <si>
    <t>Arts Recherche Territoires et Savoirs</t>
  </si>
  <si>
    <t>Télécom Saint-Etienne</t>
  </si>
  <si>
    <t>IAE de Saint-Etienne</t>
  </si>
  <si>
    <t>Direction de la Formation et de l'insertion Professionnelle</t>
  </si>
  <si>
    <t>Direction de la Communication</t>
  </si>
  <si>
    <t>Département d'Etudes Politiques et Territoriales</t>
  </si>
  <si>
    <t>Direction du Pilotage, Audit Interne et Qualité</t>
  </si>
  <si>
    <t>Observation 2020, 2021 et 2022</t>
  </si>
  <si>
    <r>
      <t xml:space="preserve">Total des heures complémentaires rémunérées 2020 : </t>
    </r>
    <r>
      <rPr>
        <sz val="20"/>
        <color rgb="FF7F7F7F"/>
        <rFont val="Calibri"/>
        <family val="2"/>
      </rPr>
      <t xml:space="preserve">145 328 </t>
    </r>
    <r>
      <rPr>
        <sz val="12"/>
        <color rgb="FF7F7F7F"/>
        <rFont val="Calibri"/>
        <family val="2"/>
      </rPr>
      <t>heures équivalent TD</t>
    </r>
  </si>
  <si>
    <r>
      <t xml:space="preserve">Total des heures complémentaires rémunérées 2020 : </t>
    </r>
    <r>
      <rPr>
        <sz val="20"/>
        <color rgb="FF7F7F7F"/>
        <rFont val="Calibri"/>
        <family val="2"/>
      </rPr>
      <t xml:space="preserve">149 823 </t>
    </r>
    <r>
      <rPr>
        <sz val="12"/>
        <color rgb="FF7F7F7F"/>
        <rFont val="Calibri"/>
        <family val="2"/>
      </rPr>
      <t>heures équivalent TD</t>
    </r>
  </si>
  <si>
    <r>
      <t xml:space="preserve">Total des heures complémentaires rémunérées 2022 : </t>
    </r>
    <r>
      <rPr>
        <sz val="28"/>
        <color rgb="FF00B050"/>
        <rFont val="Calibri"/>
        <family val="2"/>
      </rPr>
      <t>150 338</t>
    </r>
    <r>
      <rPr>
        <sz val="28"/>
        <color rgb="FFFF0000"/>
        <rFont val="Calibri"/>
        <family val="2"/>
      </rPr>
      <t xml:space="preserve"> </t>
    </r>
    <r>
      <rPr>
        <sz val="12"/>
        <color rgb="FF7F7F7F"/>
        <rFont val="Calibri"/>
        <family val="2"/>
      </rPr>
      <t>heures équivalent TD</t>
    </r>
  </si>
  <si>
    <t>en 2022</t>
  </si>
  <si>
    <t>Coût moyen annuel 2022</t>
  </si>
  <si>
    <t>Observation 2019 -2020 - 2021 - 2022</t>
  </si>
  <si>
    <t>Observation 2018 - 2019 - 2020 - 2021 et 2022</t>
  </si>
  <si>
    <t>8 pts</t>
  </si>
  <si>
    <t>Tendance d'évolution
par r. 2021</t>
  </si>
  <si>
    <t>Plafond 2022</t>
  </si>
  <si>
    <t>Consommation
2022</t>
  </si>
  <si>
    <t>Stagiaires 2022</t>
  </si>
  <si>
    <t>Nombre d'heures-stagiaires 2022</t>
  </si>
  <si>
    <t>Observation 2022</t>
  </si>
  <si>
    <t>Observation 2020 - 2021 et 2022</t>
  </si>
  <si>
    <t>global</t>
  </si>
  <si>
    <t>% femmes</t>
  </si>
  <si>
    <t>6 pts</t>
  </si>
  <si>
    <t>17 pts</t>
  </si>
  <si>
    <t>N</t>
  </si>
  <si>
    <t>N-1</t>
  </si>
  <si>
    <t>2 sorties</t>
  </si>
  <si>
    <t>300 bons cadeaux</t>
  </si>
  <si>
    <t>pas de voyages</t>
  </si>
  <si>
    <t>101 adhésions</t>
  </si>
  <si>
    <t>430 participants</t>
  </si>
  <si>
    <t>bons cadeaux soirée spectacle</t>
  </si>
  <si>
    <t>52 bons cadeaux</t>
  </si>
  <si>
    <t>80 bons cadeaux</t>
  </si>
  <si>
    <t>Afterwork</t>
  </si>
  <si>
    <t>3 Afterworks - 101 participants</t>
  </si>
  <si>
    <t>adhésion interce42</t>
  </si>
  <si>
    <r>
      <t xml:space="preserve">En </t>
    </r>
    <r>
      <rPr>
        <b/>
        <sz val="8"/>
        <color rgb="FF00B050"/>
        <rFont val="Calibri"/>
        <family val="2"/>
      </rPr>
      <t>2022,  2</t>
    </r>
    <r>
      <rPr>
        <sz val="8"/>
        <color theme="4" tint="-0.249977111117893"/>
        <rFont val="Calibri"/>
        <family val="2"/>
      </rPr>
      <t xml:space="preserve"> visites périodiques de la Commission de Sécurité ont été effectuées. 
Tous les sites visités ont reçus </t>
    </r>
    <r>
      <rPr>
        <b/>
        <sz val="8"/>
        <color theme="4" tint="-0.249977111117893"/>
        <rFont val="Calibri"/>
        <family val="2"/>
      </rPr>
      <t xml:space="preserve">un avis favorable.
</t>
    </r>
    <r>
      <rPr>
        <sz val="8"/>
        <color theme="4" tint="-0.249977111117893"/>
        <rFont val="Calibri"/>
        <family val="2"/>
      </rPr>
      <t>Des exercices d'évacuation sont réalisés périodiquement sur les sites universitaires.</t>
    </r>
  </si>
  <si>
    <t>N-2</t>
  </si>
  <si>
    <t>Promo Spécifique</t>
  </si>
  <si>
    <r>
      <t>Bilan social - Année</t>
    </r>
    <r>
      <rPr>
        <sz val="14"/>
        <color rgb="FFFF00FF"/>
        <rFont val="Calibri"/>
        <family val="2"/>
      </rPr>
      <t xml:space="preserve"> </t>
    </r>
    <r>
      <rPr>
        <sz val="14"/>
        <color theme="0" tint="-0.34998626667073579"/>
        <rFont val="Calibri"/>
        <family val="2"/>
      </rPr>
      <t>2022</t>
    </r>
  </si>
  <si>
    <t>Chapitre 1 -Effectif - Démographie - Parité femmes/hommes</t>
  </si>
  <si>
    <t>1.7.  Parité femmes/hommes</t>
  </si>
  <si>
    <t>non renseigné</t>
  </si>
  <si>
    <t>Parité femmes/hommes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</si>
</sst>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quot;;\-#,##0\ &quot;€&quot;"/>
    <numFmt numFmtId="6" formatCode="#,##0\ &quot;€&quot;;[Red]\-#,##0\ &quot;€&quot;"/>
    <numFmt numFmtId="42" formatCode="_-* #,##0\ &quot;€&quot;_-;\-* #,##0\ &quot;€&quot;_-;_-* &quot;-&quot;\ &quot;€&quot;_-;_-@_-"/>
    <numFmt numFmtId="44" formatCode="_-* #,##0.00\ &quot;€&quot;_-;\-* #,##0.00\ &quot;€&quot;_-;_-* &quot;-&quot;??\ &quot;€&quot;_-;_-@_-"/>
    <numFmt numFmtId="43" formatCode="_-* #,##0.00\ _€_-;\-* #,##0.00\ _€_-;_-* &quot;-&quot;??\ _€_-;_-@_-"/>
    <numFmt numFmtId="164" formatCode="0.0"/>
    <numFmt numFmtId="165" formatCode="0.0%"/>
    <numFmt numFmtId="166" formatCode="0;00"/>
    <numFmt numFmtId="167" formatCode="#,##0\ &quot;€&quot;"/>
    <numFmt numFmtId="168" formatCode="#,##0.00\ &quot;€&quot;"/>
    <numFmt numFmtId="169" formatCode="_-* #,##0\ &quot;€&quot;_-;\-* #,##0\ &quot;€&quot;_-;_-* &quot;-&quot;??\ &quot;€&quot;_-;_-@_-"/>
    <numFmt numFmtId="170" formatCode="0&quot; ans&quot;"/>
    <numFmt numFmtId="171" formatCode="0.000%"/>
    <numFmt numFmtId="172" formatCode="0.0000%"/>
  </numFmts>
  <fonts count="224">
    <font>
      <sz val="8"/>
      <color theme="1"/>
      <name val="Tahoma"/>
      <family val="2"/>
    </font>
    <font>
      <sz val="11"/>
      <color theme="1"/>
      <name val="Georgia"/>
      <family val="2"/>
      <scheme val="minor"/>
    </font>
    <font>
      <sz val="11"/>
      <color theme="1"/>
      <name val="Georgia"/>
      <family val="2"/>
      <scheme val="minor"/>
    </font>
    <font>
      <sz val="11"/>
      <color theme="1"/>
      <name val="Georgia"/>
      <family val="2"/>
      <scheme val="minor"/>
    </font>
    <font>
      <sz val="11"/>
      <color theme="1"/>
      <name val="Georgia"/>
      <family val="2"/>
      <scheme val="minor"/>
    </font>
    <font>
      <sz val="9"/>
      <color theme="1"/>
      <name val="Calibri"/>
      <family val="2"/>
    </font>
    <font>
      <sz val="9"/>
      <color theme="1"/>
      <name val="Calibri"/>
      <family val="2"/>
    </font>
    <font>
      <sz val="11"/>
      <color theme="1"/>
      <name val="Georgia"/>
      <family val="2"/>
      <scheme val="minor"/>
    </font>
    <font>
      <sz val="10"/>
      <name val="Arial"/>
      <family val="2"/>
    </font>
    <font>
      <b/>
      <sz val="9"/>
      <color indexed="18"/>
      <name val="Tahoma"/>
      <family val="2"/>
    </font>
    <font>
      <b/>
      <sz val="8"/>
      <color indexed="20"/>
      <name val="Tahoma"/>
      <family val="2"/>
    </font>
    <font>
      <sz val="10"/>
      <name val="Arial"/>
      <family val="2"/>
    </font>
    <font>
      <sz val="8"/>
      <name val="Tahoma"/>
      <family val="2"/>
    </font>
    <font>
      <sz val="10"/>
      <name val="Arial"/>
      <family val="2"/>
    </font>
    <font>
      <b/>
      <sz val="10"/>
      <color indexed="18"/>
      <name val="Tahoma"/>
      <family val="2"/>
    </font>
    <font>
      <b/>
      <sz val="8"/>
      <color indexed="9"/>
      <name val="Calibri"/>
      <family val="2"/>
    </font>
    <font>
      <b/>
      <sz val="9"/>
      <color indexed="9"/>
      <name val="Calibri"/>
      <family val="2"/>
    </font>
    <font>
      <sz val="8"/>
      <color indexed="18"/>
      <name val="Calibri"/>
      <family val="2"/>
    </font>
    <font>
      <b/>
      <sz val="8"/>
      <color indexed="20"/>
      <name val="Calibri"/>
      <family val="2"/>
    </font>
    <font>
      <sz val="10"/>
      <name val="Calibri"/>
      <family val="2"/>
    </font>
    <font>
      <b/>
      <sz val="8"/>
      <color indexed="18"/>
      <name val="Calibri"/>
      <family val="2"/>
    </font>
    <font>
      <sz val="9"/>
      <name val="Calibri"/>
      <family val="2"/>
    </font>
    <font>
      <b/>
      <sz val="9"/>
      <color indexed="18"/>
      <name val="Calibri"/>
      <family val="2"/>
    </font>
    <font>
      <sz val="9"/>
      <color indexed="18"/>
      <name val="Calibri"/>
      <family val="2"/>
    </font>
    <font>
      <b/>
      <sz val="9"/>
      <color indexed="20"/>
      <name val="Calibri"/>
      <family val="2"/>
    </font>
    <font>
      <sz val="8"/>
      <color indexed="8"/>
      <name val="Tahoma"/>
      <family val="2"/>
    </font>
    <font>
      <sz val="8"/>
      <color indexed="8"/>
      <name val="Calibri"/>
      <family val="2"/>
    </font>
    <font>
      <sz val="8"/>
      <name val="Calibri"/>
      <family val="2"/>
    </font>
    <font>
      <sz val="8"/>
      <color indexed="18"/>
      <name val="Tahoma"/>
      <family val="2"/>
    </font>
    <font>
      <b/>
      <sz val="8"/>
      <color indexed="54"/>
      <name val="Tahoma"/>
      <family val="2"/>
    </font>
    <font>
      <sz val="9"/>
      <color indexed="23"/>
      <name val="Calibri"/>
      <family val="2"/>
    </font>
    <font>
      <sz val="6"/>
      <name val="Calibri"/>
      <family val="2"/>
    </font>
    <font>
      <b/>
      <sz val="10"/>
      <name val="Arial"/>
      <family val="2"/>
    </font>
    <font>
      <sz val="9"/>
      <color indexed="18"/>
      <name val="Tahoma"/>
      <family val="2"/>
    </font>
    <font>
      <sz val="8"/>
      <color indexed="62"/>
      <name val="Calibri"/>
      <family val="2"/>
    </font>
    <font>
      <i/>
      <sz val="8"/>
      <color indexed="62"/>
      <name val="Calibri"/>
      <family val="2"/>
    </font>
    <font>
      <sz val="7"/>
      <name val="Calibri"/>
      <family val="2"/>
    </font>
    <font>
      <sz val="11"/>
      <color theme="1"/>
      <name val="Georgia"/>
      <family val="2"/>
      <scheme val="minor"/>
    </font>
    <font>
      <sz val="8"/>
      <color theme="1"/>
      <name val="Calibri"/>
      <family val="2"/>
    </font>
    <font>
      <b/>
      <sz val="11"/>
      <color theme="1"/>
      <name val="Georgia"/>
      <family val="2"/>
      <scheme val="minor"/>
    </font>
    <font>
      <sz val="8"/>
      <color theme="4" tint="-0.249977111117893"/>
      <name val="Tahoma"/>
      <family val="2"/>
    </font>
    <font>
      <b/>
      <sz val="8"/>
      <color theme="4" tint="-0.249977111117893"/>
      <name val="Tahoma"/>
      <family val="2"/>
    </font>
    <font>
      <sz val="8"/>
      <color theme="4" tint="-0.499984740745262"/>
      <name val="Tahoma"/>
      <family val="2"/>
    </font>
    <font>
      <b/>
      <i/>
      <sz val="8"/>
      <color theme="0"/>
      <name val="Tahoma"/>
      <family val="2"/>
    </font>
    <font>
      <b/>
      <sz val="8"/>
      <color theme="0"/>
      <name val="Tahoma"/>
      <family val="2"/>
    </font>
    <font>
      <b/>
      <sz val="10"/>
      <color theme="0" tint="-0.499984740745262"/>
      <name val="Tahoma"/>
      <family val="2"/>
    </font>
    <font>
      <b/>
      <sz val="8"/>
      <color theme="4" tint="0.39997558519241921"/>
      <name val="Calibri"/>
      <family val="2"/>
    </font>
    <font>
      <b/>
      <sz val="10"/>
      <color theme="0" tint="-0.499984740745262"/>
      <name val="Calibri"/>
      <family val="2"/>
    </font>
    <font>
      <b/>
      <sz val="10"/>
      <color theme="4" tint="-0.249977111117893"/>
      <name val="Calibri"/>
      <family val="2"/>
    </font>
    <font>
      <sz val="10"/>
      <color theme="4" tint="-0.249977111117893"/>
      <name val="Calibri"/>
      <family val="2"/>
    </font>
    <font>
      <b/>
      <sz val="10"/>
      <color theme="0"/>
      <name val="Calibri"/>
      <family val="2"/>
    </font>
    <font>
      <b/>
      <sz val="9"/>
      <color theme="0" tint="-0.499984740745262"/>
      <name val="Calibri"/>
      <family val="2"/>
    </font>
    <font>
      <sz val="20"/>
      <color theme="0" tint="-0.499984740745262"/>
      <name val="Calibri"/>
      <family val="2"/>
    </font>
    <font>
      <b/>
      <sz val="8"/>
      <color theme="0" tint="-0.499984740745262"/>
      <name val="Calibri"/>
      <family val="2"/>
    </font>
    <font>
      <b/>
      <sz val="8"/>
      <color theme="4" tint="-0.249977111117893"/>
      <name val="Calibri"/>
      <family val="2"/>
    </font>
    <font>
      <sz val="8"/>
      <color theme="4" tint="-0.249977111117893"/>
      <name val="Calibri"/>
      <family val="2"/>
    </font>
    <font>
      <b/>
      <i/>
      <sz val="8"/>
      <color theme="5" tint="-0.249977111117893"/>
      <name val="Calibri"/>
      <family val="2"/>
    </font>
    <font>
      <b/>
      <sz val="8"/>
      <color theme="5" tint="-0.249977111117893"/>
      <name val="Calibri"/>
      <family val="2"/>
    </font>
    <font>
      <b/>
      <i/>
      <sz val="8"/>
      <color theme="0"/>
      <name val="Calibri"/>
      <family val="2"/>
    </font>
    <font>
      <b/>
      <sz val="8"/>
      <color theme="0"/>
      <name val="Calibri"/>
      <family val="2"/>
    </font>
    <font>
      <b/>
      <sz val="16"/>
      <color rgb="FFFF0000"/>
      <name val="Tahoma"/>
      <family val="2"/>
    </font>
    <font>
      <sz val="8"/>
      <color theme="3" tint="-0.249977111117893"/>
      <name val="Calibri"/>
      <family val="2"/>
    </font>
    <font>
      <b/>
      <sz val="8"/>
      <color theme="1"/>
      <name val="Tahoma"/>
      <family val="2"/>
    </font>
    <font>
      <sz val="12"/>
      <color theme="0" tint="-0.499984740745262"/>
      <name val="Calibri"/>
      <family val="2"/>
    </font>
    <font>
      <b/>
      <sz val="9"/>
      <color theme="1"/>
      <name val="Tahoma"/>
      <family val="2"/>
    </font>
    <font>
      <b/>
      <sz val="10"/>
      <color rgb="FFFF0000"/>
      <name val="Calibri"/>
      <family val="2"/>
    </font>
    <font>
      <sz val="16"/>
      <color theme="0" tint="-0.499984740745262"/>
      <name val="Calibri"/>
      <family val="2"/>
    </font>
    <font>
      <sz val="10"/>
      <color theme="0" tint="-0.499984740745262"/>
      <name val="Calibri"/>
      <family val="2"/>
    </font>
    <font>
      <sz val="10"/>
      <name val="Georgia"/>
      <family val="2"/>
      <scheme val="minor"/>
    </font>
    <font>
      <sz val="9"/>
      <color theme="4" tint="-0.249977111117893"/>
      <name val="Calibri"/>
      <family val="2"/>
    </font>
    <font>
      <i/>
      <sz val="12"/>
      <color theme="0" tint="-0.499984740745262"/>
      <name val="Calibri"/>
      <family val="2"/>
    </font>
    <font>
      <sz val="11"/>
      <color theme="0" tint="-0.499984740745262"/>
      <name val="Calibri"/>
      <family val="2"/>
    </font>
    <font>
      <b/>
      <sz val="6"/>
      <color theme="4" tint="-0.249977111117893"/>
      <name val="Calibri"/>
      <family val="2"/>
    </font>
    <font>
      <sz val="8"/>
      <color theme="0" tint="-0.499984740745262"/>
      <name val="Tahoma"/>
      <family val="2"/>
    </font>
    <font>
      <i/>
      <sz val="14"/>
      <color theme="0" tint="-0.499984740745262"/>
      <name val="Calibri"/>
      <family val="2"/>
    </font>
    <font>
      <b/>
      <sz val="12"/>
      <color rgb="FFFF0000"/>
      <name val="Calibri"/>
      <family val="2"/>
    </font>
    <font>
      <sz val="8"/>
      <color theme="0" tint="-0.499984740745262"/>
      <name val="Calibri"/>
      <family val="2"/>
    </font>
    <font>
      <sz val="22"/>
      <color theme="0" tint="-0.499984740745262"/>
      <name val="Calibri"/>
      <family val="2"/>
    </font>
    <font>
      <b/>
      <sz val="8"/>
      <color rgb="FFFF0000"/>
      <name val="Tahoma"/>
      <family val="2"/>
    </font>
    <font>
      <b/>
      <sz val="12"/>
      <color rgb="FFFF0000"/>
      <name val="Tahoma"/>
      <family val="2"/>
    </font>
    <font>
      <sz val="8"/>
      <color theme="4" tint="-0.499984740745262"/>
      <name val="Calibri"/>
      <family val="2"/>
    </font>
    <font>
      <sz val="14"/>
      <color theme="0" tint="-0.499984740745262"/>
      <name val="Calibri"/>
      <family val="2"/>
    </font>
    <font>
      <b/>
      <sz val="11"/>
      <color rgb="FFFF0000"/>
      <name val="Calibri"/>
      <family val="2"/>
    </font>
    <font>
      <b/>
      <sz val="10"/>
      <color rgb="FFFF0000"/>
      <name val="Tahoma"/>
      <family val="2"/>
    </font>
    <font>
      <b/>
      <sz val="9"/>
      <color rgb="FFFF0000"/>
      <name val="Calibri"/>
      <family val="2"/>
    </font>
    <font>
      <b/>
      <sz val="8"/>
      <color rgb="FFFF0000"/>
      <name val="Calibri"/>
      <family val="2"/>
    </font>
    <font>
      <sz val="7"/>
      <color theme="1"/>
      <name val="Calibri"/>
      <family val="2"/>
    </font>
    <font>
      <sz val="8"/>
      <color rgb="FFFF0000"/>
      <name val="Calibri"/>
      <family val="2"/>
    </font>
    <font>
      <sz val="9"/>
      <color theme="0" tint="-0.499984740745262"/>
      <name val="Calibri"/>
      <family val="2"/>
    </font>
    <font>
      <sz val="8"/>
      <color rgb="FFFF0000"/>
      <name val="Tahoma"/>
      <family val="2"/>
    </font>
    <font>
      <sz val="18"/>
      <color theme="1"/>
      <name val="Calibri"/>
      <family val="2"/>
    </font>
    <font>
      <sz val="19"/>
      <color theme="0" tint="-0.499984740745262"/>
      <name val="Calibri"/>
      <family val="2"/>
    </font>
    <font>
      <b/>
      <sz val="12"/>
      <color theme="0" tint="-0.499984740745262"/>
      <name val="Calibri"/>
      <family val="2"/>
    </font>
    <font>
      <sz val="10"/>
      <color rgb="FFFF0000"/>
      <name val="Calibri"/>
      <family val="2"/>
    </font>
    <font>
      <sz val="9"/>
      <color theme="1"/>
      <name val="Calibri"/>
      <family val="2"/>
    </font>
    <font>
      <sz val="6"/>
      <color theme="1"/>
      <name val="Calibri"/>
      <family val="2"/>
    </font>
    <font>
      <sz val="7"/>
      <color theme="1"/>
      <name val="Tahoma"/>
      <family val="2"/>
    </font>
    <font>
      <b/>
      <sz val="11"/>
      <color theme="0"/>
      <name val="Calibri"/>
      <family val="2"/>
    </font>
    <font>
      <sz val="7"/>
      <color theme="4" tint="-0.249977111117893"/>
      <name val="Calibri"/>
      <family val="2"/>
    </font>
    <font>
      <sz val="18"/>
      <color theme="0" tint="-0.499984740745262"/>
      <name val="Calibri"/>
      <family val="2"/>
    </font>
    <font>
      <b/>
      <sz val="9"/>
      <color theme="4" tint="-0.249977111117893"/>
      <name val="Calibri"/>
      <family val="2"/>
    </font>
    <font>
      <sz val="8"/>
      <color theme="3" tint="-0.249977111117893"/>
      <name val="Tahoma"/>
      <family val="2"/>
    </font>
    <font>
      <sz val="10"/>
      <color theme="1"/>
      <name val="Tahoma"/>
      <family val="2"/>
    </font>
    <font>
      <sz val="9"/>
      <color theme="1"/>
      <name val="Tahoma"/>
      <family val="2"/>
    </font>
    <font>
      <sz val="12"/>
      <color rgb="FF7F7F7F"/>
      <name val="Calibri"/>
      <family val="2"/>
    </font>
    <font>
      <sz val="10"/>
      <color theme="1"/>
      <name val="Calibri"/>
      <family val="2"/>
    </font>
    <font>
      <sz val="10"/>
      <color theme="0" tint="-0.499984740745262"/>
      <name val="Tahoma"/>
      <family val="2"/>
    </font>
    <font>
      <sz val="9"/>
      <color theme="0" tint="-0.499984740745262"/>
      <name val="Tahoma"/>
      <family val="2"/>
    </font>
    <font>
      <sz val="12"/>
      <color theme="1"/>
      <name val="Tahoma"/>
      <family val="2"/>
    </font>
    <font>
      <sz val="8"/>
      <color rgb="FF7F7F7F"/>
      <name val="Calibri"/>
      <family val="2"/>
    </font>
    <font>
      <sz val="10"/>
      <color theme="1"/>
      <name val="Georgia"/>
      <family val="2"/>
      <scheme val="minor"/>
    </font>
    <font>
      <i/>
      <sz val="13"/>
      <color theme="0" tint="-0.499984740745262"/>
      <name val="Calibri"/>
      <family val="2"/>
    </font>
    <font>
      <sz val="10"/>
      <color theme="1"/>
      <name val="Arial Unicode MS"/>
      <family val="2"/>
    </font>
    <font>
      <sz val="8"/>
      <color theme="0"/>
      <name val="Calibri"/>
      <family val="2"/>
    </font>
    <font>
      <b/>
      <sz val="9"/>
      <color theme="0"/>
      <name val="Calibri"/>
      <family val="2"/>
    </font>
    <font>
      <sz val="6"/>
      <color theme="1"/>
      <name val="Tahoma"/>
      <family val="2"/>
    </font>
    <font>
      <sz val="11"/>
      <color rgb="FFFF0000"/>
      <name val="Calibri"/>
      <family val="2"/>
    </font>
    <font>
      <sz val="12"/>
      <color theme="1"/>
      <name val="Times New Roman"/>
      <family val="1"/>
    </font>
    <font>
      <sz val="9"/>
      <color rgb="FFFF0000"/>
      <name val="Calibri"/>
      <family val="2"/>
    </font>
    <font>
      <sz val="11"/>
      <color rgb="FFFF0000"/>
      <name val="Tahoma"/>
      <family val="2"/>
    </font>
    <font>
      <sz val="8"/>
      <color theme="9" tint="-0.249977111117893"/>
      <name val="Calibri"/>
      <family val="2"/>
    </font>
    <font>
      <b/>
      <sz val="8"/>
      <color rgb="FF00B0F0"/>
      <name val="Calibri"/>
      <family val="2"/>
    </font>
    <font>
      <sz val="8"/>
      <color rgb="FF0070C0"/>
      <name val="Calibri"/>
      <family val="2"/>
    </font>
    <font>
      <b/>
      <sz val="8"/>
      <color theme="3" tint="-0.249977111117893"/>
      <name val="Calibri"/>
      <family val="2"/>
    </font>
    <font>
      <sz val="11"/>
      <color theme="0" tint="-0.499984740745262"/>
      <name val="Tahoma"/>
      <family val="2"/>
    </font>
    <font>
      <sz val="10"/>
      <color theme="3" tint="-0.249977111117893"/>
      <name val="Calibri"/>
      <family val="2"/>
    </font>
    <font>
      <sz val="8"/>
      <color theme="4"/>
      <name val="Tahoma"/>
      <family val="2"/>
    </font>
    <font>
      <b/>
      <sz val="9"/>
      <color theme="4" tint="0.39997558519241921"/>
      <name val="Calibri"/>
      <family val="2"/>
    </font>
    <font>
      <b/>
      <sz val="14"/>
      <color theme="0" tint="-0.499984740745262"/>
      <name val="Calibri"/>
      <family val="2"/>
    </font>
    <font>
      <sz val="9"/>
      <color theme="0"/>
      <name val="Calibri"/>
      <family val="2"/>
    </font>
    <font>
      <i/>
      <sz val="9"/>
      <color theme="0" tint="-0.499984740745262"/>
      <name val="Calibri"/>
      <family val="2"/>
    </font>
    <font>
      <b/>
      <sz val="9"/>
      <color theme="0" tint="-0.499984740745262"/>
      <name val="Tahoma"/>
      <family val="2"/>
    </font>
    <font>
      <b/>
      <i/>
      <sz val="9"/>
      <color theme="5" tint="-0.249977111117893"/>
      <name val="Calibri"/>
      <family val="2"/>
    </font>
    <font>
      <b/>
      <sz val="9"/>
      <color theme="5" tint="-0.249977111117893"/>
      <name val="Calibri"/>
      <family val="2"/>
    </font>
    <font>
      <sz val="9"/>
      <color rgb="FF000000"/>
      <name val="Georgia"/>
      <family val="2"/>
      <scheme val="minor"/>
    </font>
    <font>
      <b/>
      <sz val="10"/>
      <color theme="4" tint="-0.249977111117893"/>
      <name val="Tahoma"/>
      <family val="2"/>
    </font>
    <font>
      <sz val="10"/>
      <color theme="0" tint="-0.499984740745262"/>
      <name val="Arial Unicode MS"/>
      <family val="2"/>
    </font>
    <font>
      <sz val="8"/>
      <name val="Arial Unicode MS"/>
      <family val="2"/>
    </font>
    <font>
      <sz val="8"/>
      <color rgb="FF000000"/>
      <name val="Calibri"/>
      <family val="2"/>
    </font>
    <font>
      <b/>
      <sz val="11"/>
      <color theme="0" tint="-0.499984740745262"/>
      <name val="Calibri"/>
      <family val="2"/>
    </font>
    <font>
      <sz val="11"/>
      <color theme="4" tint="-0.249977111117893"/>
      <name val="Calibri"/>
      <family val="2"/>
    </font>
    <font>
      <sz val="11"/>
      <color rgb="FF7F7F7F"/>
      <name val="Calibri"/>
      <family val="2"/>
    </font>
    <font>
      <sz val="8"/>
      <color rgb="FFFF0066"/>
      <name val="Calibri"/>
      <family val="2"/>
    </font>
    <font>
      <sz val="9"/>
      <name val="Georgia"/>
      <family val="2"/>
      <scheme val="minor"/>
    </font>
    <font>
      <sz val="11"/>
      <color theme="1"/>
      <name val="Calibri"/>
      <family val="2"/>
    </font>
    <font>
      <b/>
      <sz val="9"/>
      <color rgb="FF000000"/>
      <name val="Georgia"/>
      <family val="2"/>
      <scheme val="minor"/>
    </font>
    <font>
      <b/>
      <sz val="8"/>
      <name val="Calibri"/>
      <family val="2"/>
    </font>
    <font>
      <sz val="12"/>
      <color theme="1"/>
      <name val="Calibri"/>
      <family val="2"/>
    </font>
    <font>
      <sz val="10"/>
      <color rgb="FF7F7F7F"/>
      <name val="Calibri"/>
      <family val="2"/>
    </font>
    <font>
      <sz val="14"/>
      <color rgb="FF7F7F7F"/>
      <name val="Calibri"/>
      <family val="2"/>
    </font>
    <font>
      <b/>
      <sz val="10.5"/>
      <color rgb="FF6F6F6F"/>
      <name val="Calibri"/>
      <family val="2"/>
    </font>
    <font>
      <sz val="9"/>
      <color rgb="FF7F7F7F"/>
      <name val="Calibri"/>
      <family val="2"/>
    </font>
    <font>
      <sz val="10"/>
      <color rgb="FFFF00FF"/>
      <name val="Calibri"/>
      <family val="2"/>
    </font>
    <font>
      <sz val="8"/>
      <color rgb="FFFF00FF"/>
      <name val="Calibri"/>
      <family val="2"/>
    </font>
    <font>
      <b/>
      <sz val="8"/>
      <color rgb="FFFF00FF"/>
      <name val="Calibri"/>
      <family val="2"/>
    </font>
    <font>
      <sz val="9"/>
      <color rgb="FFFF00FF"/>
      <name val="Calibri"/>
      <family val="2"/>
    </font>
    <font>
      <sz val="8"/>
      <color rgb="FFFF00FF"/>
      <name val="Tahoma"/>
      <family val="2"/>
    </font>
    <font>
      <strike/>
      <sz val="8"/>
      <color rgb="FFFF00FF"/>
      <name val="Calibri"/>
      <family val="2"/>
    </font>
    <font>
      <sz val="10"/>
      <name val="Garamond"/>
      <family val="1"/>
    </font>
    <font>
      <i/>
      <vertAlign val="subscript"/>
      <sz val="16"/>
      <color rgb="FFFF00FF"/>
      <name val="Calibri"/>
      <family val="2"/>
    </font>
    <font>
      <sz val="14"/>
      <color rgb="FFFF00FF"/>
      <name val="Calibri"/>
      <family val="2"/>
    </font>
    <font>
      <i/>
      <sz val="11"/>
      <color theme="0" tint="-0.499984740745262"/>
      <name val="Calibri"/>
      <family val="2"/>
    </font>
    <font>
      <sz val="10"/>
      <color rgb="FFFF0000"/>
      <name val="Arial Unicode MS"/>
      <family val="2"/>
    </font>
    <font>
      <b/>
      <sz val="8"/>
      <color rgb="FFFF00FF"/>
      <name val="Tahoma"/>
      <family val="2"/>
    </font>
    <font>
      <sz val="11"/>
      <name val="Calibri"/>
      <family val="2"/>
    </font>
    <font>
      <b/>
      <sz val="9"/>
      <color rgb="FFFF0000"/>
      <name val="Tahoma"/>
      <family val="2"/>
    </font>
    <font>
      <sz val="9"/>
      <color rgb="FF6F6F6F"/>
      <name val="Calibri"/>
      <family val="2"/>
    </font>
    <font>
      <sz val="8"/>
      <color rgb="FF00B050"/>
      <name val="Tahoma"/>
      <family val="2"/>
    </font>
    <font>
      <sz val="12"/>
      <color rgb="FF00B050"/>
      <name val="Calibri"/>
      <family val="2"/>
    </font>
    <font>
      <b/>
      <sz val="9"/>
      <color rgb="FF00B050"/>
      <name val="Calibri"/>
      <family val="2"/>
    </font>
    <font>
      <strike/>
      <sz val="7"/>
      <color rgb="FF00B050"/>
      <name val="Tahoma"/>
      <family val="2"/>
    </font>
    <font>
      <b/>
      <sz val="10"/>
      <name val="Arial Unicode MS"/>
      <family val="2"/>
    </font>
    <font>
      <b/>
      <i/>
      <sz val="10"/>
      <name val="Arial Unicode MS"/>
      <family val="2"/>
    </font>
    <font>
      <sz val="10"/>
      <name val="Arial Unicode MS"/>
      <family val="2"/>
    </font>
    <font>
      <i/>
      <sz val="10"/>
      <name val="Arial Unicode MS"/>
      <family val="2"/>
    </font>
    <font>
      <i/>
      <sz val="10"/>
      <color theme="0" tint="-0.499984740745262"/>
      <name val="Arial Unicode MS"/>
      <family val="2"/>
    </font>
    <font>
      <sz val="10"/>
      <color rgb="FF00B050"/>
      <name val="Arial Unicode MS"/>
      <family val="2"/>
    </font>
    <font>
      <strike/>
      <sz val="8"/>
      <color rgb="FF00B050"/>
      <name val="Tahoma"/>
      <family val="2"/>
    </font>
    <font>
      <sz val="9"/>
      <color theme="4" tint="-0.499984740745262"/>
      <name val="Calibri"/>
      <family val="2"/>
    </font>
    <font>
      <b/>
      <sz val="14"/>
      <color theme="4" tint="0.39997558519241921"/>
      <name val="Calibri"/>
      <family val="2"/>
    </font>
    <font>
      <i/>
      <sz val="8"/>
      <color theme="1"/>
      <name val="Tahoma"/>
      <family val="2"/>
    </font>
    <font>
      <i/>
      <sz val="11"/>
      <color rgb="FF7F7F7F"/>
      <name val="Calibri"/>
      <family val="2"/>
    </font>
    <font>
      <b/>
      <sz val="11"/>
      <color rgb="FF7F7F7F"/>
      <name val="Calibri"/>
      <family val="2"/>
    </font>
    <font>
      <b/>
      <sz val="8"/>
      <color rgb="FF7030A0"/>
      <name val="Calibri"/>
      <family val="2"/>
    </font>
    <font>
      <sz val="14"/>
      <color rgb="FFFF0000"/>
      <name val="Calibri"/>
      <family val="2"/>
    </font>
    <font>
      <i/>
      <sz val="7"/>
      <color theme="0" tint="-0.499984740745262"/>
      <name val="Calibri"/>
      <family val="2"/>
    </font>
    <font>
      <sz val="8"/>
      <color theme="0" tint="-4.9989318521683403E-2"/>
      <name val="Calibri"/>
      <family val="2"/>
    </font>
    <font>
      <b/>
      <sz val="8"/>
      <color theme="0" tint="-4.9989318521683403E-2"/>
      <name val="Calibri"/>
      <family val="2"/>
    </font>
    <font>
      <sz val="8"/>
      <color theme="1"/>
      <name val="Tahoma"/>
      <family val="2"/>
    </font>
    <font>
      <sz val="14"/>
      <color theme="0" tint="-0.34998626667073579"/>
      <name val="Calibri"/>
      <family val="2"/>
    </font>
    <font>
      <sz val="9"/>
      <color theme="0"/>
      <name val="Tahoma"/>
      <family val="2"/>
    </font>
    <font>
      <sz val="8"/>
      <color theme="0"/>
      <name val="Tahoma"/>
      <family val="2"/>
    </font>
    <font>
      <sz val="10"/>
      <color rgb="FF000000"/>
      <name val="Arial"/>
      <family val="2"/>
    </font>
    <font>
      <sz val="8"/>
      <color rgb="FF92D050"/>
      <name val="Calibri"/>
      <family val="2"/>
    </font>
    <font>
      <b/>
      <sz val="8"/>
      <color theme="4" tint="0.39994506668294322"/>
      <name val="Calibri"/>
      <family val="2"/>
    </font>
    <font>
      <strike/>
      <sz val="8"/>
      <color theme="1"/>
      <name val="Calibri"/>
      <family val="2"/>
    </font>
    <font>
      <strike/>
      <sz val="11"/>
      <color theme="1"/>
      <name val="Calibri"/>
      <family val="2"/>
    </font>
    <font>
      <sz val="9"/>
      <color rgb="FFFF0066"/>
      <name val="Calibri"/>
      <family val="2"/>
    </font>
    <font>
      <b/>
      <sz val="9"/>
      <color rgb="FFFF0066"/>
      <name val="Calibri"/>
      <family val="2"/>
    </font>
    <font>
      <b/>
      <sz val="8"/>
      <color rgb="FFC00000"/>
      <name val="Tahoma"/>
      <family val="2"/>
    </font>
    <font>
      <i/>
      <sz val="12"/>
      <color rgb="FF00B050"/>
      <name val="Calibri"/>
      <family val="2"/>
    </font>
    <font>
      <i/>
      <sz val="14"/>
      <color rgb="FF00B050"/>
      <name val="Calibri"/>
      <family val="2"/>
    </font>
    <font>
      <u/>
      <sz val="16"/>
      <color theme="0" tint="-0.499984740745262"/>
      <name val="Calibri"/>
      <family val="2"/>
    </font>
    <font>
      <b/>
      <u/>
      <sz val="9"/>
      <color theme="0" tint="-0.499984740745262"/>
      <name val="Calibri"/>
      <family val="2"/>
    </font>
    <font>
      <sz val="9"/>
      <color theme="0" tint="-0.499984740745262"/>
      <name val="Georgia"/>
      <family val="2"/>
      <scheme val="minor"/>
    </font>
    <font>
      <sz val="12"/>
      <color rgb="FFFF0000"/>
      <name val="Tahoma"/>
      <family val="2"/>
    </font>
    <font>
      <sz val="12"/>
      <color theme="0" tint="-0.499984740745262"/>
      <name val="Tahoma"/>
      <family val="2"/>
    </font>
    <font>
      <sz val="20"/>
      <color rgb="FF7F7F7F"/>
      <name val="Calibri"/>
      <family val="2"/>
    </font>
    <font>
      <sz val="28"/>
      <color rgb="FFFF0000"/>
      <name val="Calibri"/>
      <family val="2"/>
    </font>
    <font>
      <sz val="9"/>
      <color rgb="FF00B050"/>
      <name val="Calibri"/>
      <family val="2"/>
    </font>
    <font>
      <sz val="8"/>
      <color rgb="FF00B050"/>
      <name val="Calibri"/>
      <family val="2"/>
    </font>
    <font>
      <sz val="10"/>
      <color rgb="FF00B050"/>
      <name val="Calibri"/>
      <family val="2"/>
    </font>
    <font>
      <b/>
      <sz val="8"/>
      <color rgb="FF00B050"/>
      <name val="Calibri"/>
      <family val="2"/>
    </font>
    <font>
      <sz val="8"/>
      <color rgb="FF002060"/>
      <name val="Calibri"/>
      <family val="2"/>
    </font>
    <font>
      <b/>
      <sz val="8"/>
      <color rgb="FF002060"/>
      <name val="Calibri"/>
      <family val="2"/>
    </font>
    <font>
      <sz val="20"/>
      <color rgb="FF00B050"/>
      <name val="Wingdings 3"/>
      <family val="1"/>
      <charset val="2"/>
    </font>
    <font>
      <sz val="16"/>
      <color rgb="FF00B050"/>
      <name val="Calibri"/>
      <family val="2"/>
    </font>
    <font>
      <sz val="14"/>
      <color rgb="FF00B050"/>
      <name val="Calibri"/>
      <family val="2"/>
    </font>
    <font>
      <b/>
      <sz val="8"/>
      <color rgb="FF00B050"/>
      <name val="Tahoma"/>
      <family val="2"/>
    </font>
    <font>
      <sz val="8"/>
      <color theme="3" tint="-0.499984740745262"/>
      <name val="Calibri"/>
      <family val="2"/>
    </font>
    <font>
      <sz val="9"/>
      <color theme="3" tint="-0.499984740745262"/>
      <name val="Calibri"/>
      <family val="2"/>
    </font>
    <font>
      <sz val="10"/>
      <color theme="4" tint="-0.499984740745262"/>
      <name val="Calibri"/>
      <family val="2"/>
    </font>
    <font>
      <sz val="28"/>
      <color rgb="FF00B050"/>
      <name val="Calibri"/>
      <family val="2"/>
    </font>
    <font>
      <b/>
      <sz val="11"/>
      <color rgb="FF00B050"/>
      <name val="Calibri"/>
      <family val="2"/>
    </font>
  </fonts>
  <fills count="1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FFFFFF"/>
        <bgColor rgb="FFFFFFFF"/>
      </patternFill>
    </fill>
    <fill>
      <patternFill patternType="solid">
        <fgColor rgb="FFA8AABC"/>
        <bgColor indexed="64"/>
      </patternFill>
    </fill>
    <fill>
      <patternFill patternType="solid">
        <fgColor theme="0" tint="-4.9989318521683403E-2"/>
        <bgColor indexed="64"/>
      </patternFill>
    </fill>
  </fills>
  <borders count="152">
    <border>
      <left/>
      <right/>
      <top/>
      <bottom/>
      <diagonal/>
    </border>
    <border>
      <left/>
      <right/>
      <top/>
      <bottom style="thin">
        <color indexed="18"/>
      </bottom>
      <diagonal/>
    </border>
    <border>
      <left/>
      <right style="thin">
        <color indexed="64"/>
      </right>
      <top/>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medium">
        <color theme="4" tint="0.39994506668294322"/>
      </left>
      <right/>
      <top/>
      <bottom/>
      <diagonal/>
    </border>
    <border>
      <left/>
      <right style="medium">
        <color theme="4" tint="0.39994506668294322"/>
      </right>
      <top/>
      <bottom/>
      <diagonal/>
    </border>
    <border>
      <left style="medium">
        <color theme="4" tint="0.39994506668294322"/>
      </left>
      <right/>
      <top style="medium">
        <color theme="4" tint="0.39994506668294322"/>
      </top>
      <bottom/>
      <diagonal/>
    </border>
    <border>
      <left/>
      <right/>
      <top style="medium">
        <color theme="4" tint="0.39994506668294322"/>
      </top>
      <bottom/>
      <diagonal/>
    </border>
    <border>
      <left/>
      <right style="medium">
        <color theme="4" tint="0.39994506668294322"/>
      </right>
      <top style="medium">
        <color theme="4" tint="0.39994506668294322"/>
      </top>
      <bottom/>
      <diagonal/>
    </border>
    <border>
      <left style="medium">
        <color theme="4" tint="0.39994506668294322"/>
      </left>
      <right/>
      <top/>
      <bottom style="medium">
        <color theme="4" tint="0.39994506668294322"/>
      </bottom>
      <diagonal/>
    </border>
    <border>
      <left/>
      <right/>
      <top/>
      <bottom style="medium">
        <color theme="4" tint="0.39994506668294322"/>
      </bottom>
      <diagonal/>
    </border>
    <border>
      <left/>
      <right style="medium">
        <color theme="4" tint="0.39994506668294322"/>
      </right>
      <top/>
      <bottom style="medium">
        <color theme="4" tint="0.39994506668294322"/>
      </bottom>
      <diagonal/>
    </border>
    <border>
      <left style="thin">
        <color theme="3" tint="0.39994506668294322"/>
      </left>
      <right style="thin">
        <color theme="3" tint="0.39994506668294322"/>
      </right>
      <top style="thin">
        <color theme="3" tint="0.39991454817346722"/>
      </top>
      <bottom style="thin">
        <color theme="3" tint="0.39994506668294322"/>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top/>
      <bottom style="medium">
        <color theme="0"/>
      </bottom>
      <diagonal/>
    </border>
    <border>
      <left/>
      <right style="medium">
        <color theme="0"/>
      </right>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right style="medium">
        <color theme="0"/>
      </right>
      <top style="medium">
        <color theme="0"/>
      </top>
      <bottom/>
      <diagonal/>
    </border>
    <border>
      <left style="dashed">
        <color theme="0"/>
      </left>
      <right style="dashed">
        <color theme="0"/>
      </right>
      <top style="dashed">
        <color theme="0"/>
      </top>
      <bottom style="dashed">
        <color theme="0"/>
      </bottom>
      <diagonal/>
    </border>
    <border>
      <left/>
      <right/>
      <top/>
      <bottom style="medium">
        <color theme="0" tint="-0.499984740745262"/>
      </bottom>
      <diagonal/>
    </border>
    <border>
      <left style="medium">
        <color theme="0"/>
      </left>
      <right/>
      <top/>
      <bottom/>
      <diagonal/>
    </border>
    <border>
      <left style="medium">
        <color theme="0"/>
      </left>
      <right style="medium">
        <color theme="0"/>
      </right>
      <top/>
      <bottom style="medium">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medium">
        <color theme="4" tint="0.39994506668294322"/>
      </left>
      <right style="medium">
        <color theme="4" tint="0.39991454817346722"/>
      </right>
      <top/>
      <bottom/>
      <diagonal/>
    </border>
    <border>
      <left style="medium">
        <color theme="4" tint="0.39994506668294322"/>
      </left>
      <right style="medium">
        <color theme="4" tint="0.39994506668294322"/>
      </right>
      <top style="medium">
        <color theme="4" tint="0.39994506668294322"/>
      </top>
      <bottom/>
      <diagonal/>
    </border>
    <border>
      <left style="dashed">
        <color theme="0"/>
      </left>
      <right/>
      <top style="dashed">
        <color theme="0"/>
      </top>
      <bottom style="dashed">
        <color theme="0"/>
      </bottom>
      <diagonal/>
    </border>
    <border>
      <left style="double">
        <color theme="4" tint="-0.24994659260841701"/>
      </left>
      <right/>
      <top/>
      <bottom/>
      <diagonal/>
    </border>
    <border>
      <left/>
      <right style="double">
        <color theme="4" tint="-0.24994659260841701"/>
      </right>
      <top/>
      <bottom/>
      <diagonal/>
    </border>
    <border>
      <left style="double">
        <color theme="4" tint="-0.24994659260841701"/>
      </left>
      <right/>
      <top/>
      <bottom style="double">
        <color theme="4" tint="-0.24994659260841701"/>
      </bottom>
      <diagonal/>
    </border>
    <border>
      <left/>
      <right/>
      <top/>
      <bottom style="double">
        <color theme="4" tint="-0.24994659260841701"/>
      </bottom>
      <diagonal/>
    </border>
    <border>
      <left/>
      <right style="double">
        <color theme="4" tint="-0.24994659260841701"/>
      </right>
      <top/>
      <bottom style="double">
        <color theme="4" tint="-0.24994659260841701"/>
      </bottom>
      <diagonal/>
    </border>
    <border>
      <left style="double">
        <color theme="4" tint="-0.24994659260841701"/>
      </left>
      <right style="double">
        <color theme="4" tint="-0.24994659260841701"/>
      </right>
      <top/>
      <bottom/>
      <diagonal/>
    </border>
    <border>
      <left style="medium">
        <color theme="0"/>
      </left>
      <right style="medium">
        <color theme="0"/>
      </right>
      <top style="medium">
        <color theme="0"/>
      </top>
      <bottom/>
      <diagonal/>
    </border>
    <border>
      <left style="medium">
        <color theme="4" tint="-0.24994659260841701"/>
      </left>
      <right/>
      <top style="medium">
        <color theme="0"/>
      </top>
      <bottom style="medium">
        <color theme="0"/>
      </bottom>
      <diagonal/>
    </border>
    <border>
      <left style="medium">
        <color theme="0"/>
      </left>
      <right style="medium">
        <color theme="4" tint="-0.24994659260841701"/>
      </right>
      <top style="medium">
        <color theme="0"/>
      </top>
      <bottom style="medium">
        <color theme="0"/>
      </bottom>
      <diagonal/>
    </border>
    <border>
      <left style="medium">
        <color theme="4" tint="-0.24994659260841701"/>
      </left>
      <right style="medium">
        <color theme="0"/>
      </right>
      <top style="medium">
        <color theme="0"/>
      </top>
      <bottom style="medium">
        <color theme="0"/>
      </bottom>
      <diagonal/>
    </border>
    <border>
      <left style="medium">
        <color theme="4" tint="-0.24994659260841701"/>
      </left>
      <right style="medium">
        <color theme="0"/>
      </right>
      <top style="medium">
        <color theme="0"/>
      </top>
      <bottom style="medium">
        <color theme="4" tint="-0.24994659260841701"/>
      </bottom>
      <diagonal/>
    </border>
    <border>
      <left style="medium">
        <color theme="0"/>
      </left>
      <right style="medium">
        <color theme="4" tint="-0.24994659260841701"/>
      </right>
      <top style="medium">
        <color theme="0"/>
      </top>
      <bottom style="medium">
        <color theme="4" tint="-0.24994659260841701"/>
      </bottom>
      <diagonal/>
    </border>
    <border>
      <left/>
      <right/>
      <top/>
      <bottom style="thin">
        <color theme="0"/>
      </bottom>
      <diagonal/>
    </border>
    <border>
      <left style="hair">
        <color theme="0"/>
      </left>
      <right style="hair">
        <color theme="0"/>
      </right>
      <top style="hair">
        <color theme="0"/>
      </top>
      <bottom style="hair">
        <color theme="0"/>
      </bottom>
      <diagonal/>
    </border>
    <border>
      <left style="medium">
        <color theme="4" tint="0.39994506668294322"/>
      </left>
      <right/>
      <top/>
      <bottom style="medium">
        <color theme="4" tint="0.39991454817346722"/>
      </bottom>
      <diagonal/>
    </border>
    <border>
      <left/>
      <right/>
      <top/>
      <bottom style="medium">
        <color theme="4" tint="0.39991454817346722"/>
      </bottom>
      <diagonal/>
    </border>
    <border>
      <left/>
      <right style="medium">
        <color theme="4" tint="0.39994506668294322"/>
      </right>
      <top/>
      <bottom style="medium">
        <color theme="4" tint="0.39991454817346722"/>
      </bottom>
      <diagonal/>
    </border>
    <border>
      <left style="medium">
        <color theme="4" tint="0.39991454817346722"/>
      </left>
      <right/>
      <top/>
      <bottom/>
      <diagonal/>
    </border>
    <border>
      <left style="medium">
        <color theme="4" tint="0.39994506668294322"/>
      </left>
      <right style="medium">
        <color theme="4" tint="0.39994506668294322"/>
      </right>
      <top/>
      <bottom/>
      <diagonal/>
    </border>
    <border>
      <left/>
      <right style="dashed">
        <color theme="0"/>
      </right>
      <top style="dashed">
        <color theme="0"/>
      </top>
      <bottom style="dashed">
        <color theme="0"/>
      </bottom>
      <diagonal/>
    </border>
    <border>
      <left style="medium">
        <color theme="4" tint="0.39994506668294322"/>
      </left>
      <right style="medium">
        <color theme="4" tint="0.39994506668294322"/>
      </right>
      <top/>
      <bottom style="medium">
        <color theme="4" tint="0.39991454817346722"/>
      </bottom>
      <diagonal/>
    </border>
    <border>
      <left style="medium">
        <color theme="4" tint="0.39994506668294322"/>
      </left>
      <right style="medium">
        <color theme="4" tint="0.39994506668294322"/>
      </right>
      <top style="medium">
        <color theme="4" tint="0.39991454817346722"/>
      </top>
      <bottom style="medium">
        <color theme="4" tint="0.39991454817346722"/>
      </bottom>
      <diagonal/>
    </border>
    <border>
      <left style="medium">
        <color theme="4" tint="0.39994506668294322"/>
      </left>
      <right/>
      <top style="medium">
        <color theme="4" tint="0.39991454817346722"/>
      </top>
      <bottom style="medium">
        <color theme="4" tint="0.39994506668294322"/>
      </bottom>
      <diagonal/>
    </border>
    <border>
      <left style="dashed">
        <color theme="0"/>
      </left>
      <right style="dashed">
        <color theme="0"/>
      </right>
      <top style="dashed">
        <color theme="0"/>
      </top>
      <bottom/>
      <diagonal/>
    </border>
    <border>
      <left style="medium">
        <color theme="4" tint="0.39994506668294322"/>
      </left>
      <right/>
      <top style="medium">
        <color theme="4" tint="0.39991454817346722"/>
      </top>
      <bottom/>
      <diagonal/>
    </border>
    <border>
      <left/>
      <right/>
      <top style="medium">
        <color theme="4" tint="0.39991454817346722"/>
      </top>
      <bottom/>
      <diagonal/>
    </border>
    <border>
      <left/>
      <right style="medium">
        <color theme="4" tint="0.39994506668294322"/>
      </right>
      <top style="medium">
        <color theme="4" tint="0.39991454817346722"/>
      </top>
      <bottom/>
      <diagonal/>
    </border>
    <border>
      <left style="medium">
        <color theme="4" tint="0.39991454817346722"/>
      </left>
      <right/>
      <top style="medium">
        <color theme="4" tint="0.39991454817346722"/>
      </top>
      <bottom/>
      <diagonal/>
    </border>
    <border>
      <left/>
      <right style="medium">
        <color theme="4" tint="0.39991454817346722"/>
      </right>
      <top style="medium">
        <color theme="4" tint="0.39991454817346722"/>
      </top>
      <bottom/>
      <diagonal/>
    </border>
    <border>
      <left style="medium">
        <color theme="4" tint="0.39994506668294322"/>
      </left>
      <right style="medium">
        <color theme="4" tint="0.39991454817346722"/>
      </right>
      <top style="medium">
        <color theme="4" tint="0.39994506668294322"/>
      </top>
      <bottom/>
      <diagonal/>
    </border>
    <border>
      <left style="dashed">
        <color theme="0"/>
      </left>
      <right style="dashed">
        <color theme="0"/>
      </right>
      <top/>
      <bottom style="dashed">
        <color theme="0"/>
      </bottom>
      <diagonal/>
    </border>
    <border>
      <left style="medium">
        <color theme="0"/>
      </left>
      <right/>
      <top/>
      <bottom style="medium">
        <color theme="0"/>
      </bottom>
      <diagonal/>
    </border>
    <border>
      <left style="double">
        <color theme="4" tint="-0.24994659260841701"/>
      </left>
      <right/>
      <top style="double">
        <color theme="4" tint="-0.24994659260841701"/>
      </top>
      <bottom/>
      <diagonal/>
    </border>
    <border>
      <left/>
      <right/>
      <top style="double">
        <color theme="4" tint="-0.24994659260841701"/>
      </top>
      <bottom/>
      <diagonal/>
    </border>
    <border>
      <left/>
      <right style="double">
        <color theme="4" tint="-0.24994659260841701"/>
      </right>
      <top style="double">
        <color theme="4" tint="-0.24994659260841701"/>
      </top>
      <bottom/>
      <diagonal/>
    </border>
    <border>
      <left/>
      <right style="medium">
        <color theme="0"/>
      </right>
      <top/>
      <bottom/>
      <diagonal/>
    </border>
    <border>
      <left style="medium">
        <color theme="0"/>
      </left>
      <right/>
      <top style="medium">
        <color theme="0"/>
      </top>
      <bottom/>
      <diagonal/>
    </border>
    <border>
      <left style="medium">
        <color theme="4" tint="-0.24994659260841701"/>
      </left>
      <right/>
      <top style="medium">
        <color theme="4" tint="-0.24994659260841701"/>
      </top>
      <bottom style="medium">
        <color theme="0"/>
      </bottom>
      <diagonal/>
    </border>
    <border>
      <left/>
      <right style="medium">
        <color theme="4" tint="-0.24994659260841701"/>
      </right>
      <top style="medium">
        <color theme="4" tint="-0.24994659260841701"/>
      </top>
      <bottom style="medium">
        <color theme="0"/>
      </bottom>
      <diagonal/>
    </border>
    <border>
      <left style="medium">
        <color theme="4" tint="-0.24994659260841701"/>
      </left>
      <right/>
      <top/>
      <bottom/>
      <diagonal/>
    </border>
    <border>
      <left style="medium">
        <color theme="4" tint="-0.24994659260841701"/>
      </left>
      <right/>
      <top/>
      <bottom style="medium">
        <color theme="0"/>
      </bottom>
      <diagonal/>
    </border>
    <border>
      <left style="hair">
        <color theme="0"/>
      </left>
      <right/>
      <top style="hair">
        <color theme="0"/>
      </top>
      <bottom style="hair">
        <color theme="0"/>
      </bottom>
      <diagonal/>
    </border>
    <border>
      <left/>
      <right style="hair">
        <color theme="0"/>
      </right>
      <top style="hair">
        <color theme="0"/>
      </top>
      <bottom style="hair">
        <color theme="0"/>
      </bottom>
      <diagonal/>
    </border>
    <border>
      <left style="medium">
        <color theme="0"/>
      </left>
      <right style="medium">
        <color theme="0"/>
      </right>
      <top/>
      <bottom/>
      <diagonal/>
    </border>
    <border>
      <left style="medium">
        <color theme="4" tint="0.39988402966399123"/>
      </left>
      <right/>
      <top style="medium">
        <color theme="4" tint="0.39991454817346722"/>
      </top>
      <bottom style="medium">
        <color theme="4" tint="0.39988402966399123"/>
      </bottom>
      <diagonal/>
    </border>
    <border>
      <left/>
      <right style="medium">
        <color theme="4" tint="0.39988402966399123"/>
      </right>
      <top style="medium">
        <color theme="4" tint="0.39991454817346722"/>
      </top>
      <bottom style="medium">
        <color theme="4" tint="0.39988402966399123"/>
      </bottom>
      <diagonal/>
    </border>
    <border>
      <left style="medium">
        <color theme="4" tint="0.39988402966399123"/>
      </left>
      <right/>
      <top style="medium">
        <color theme="4" tint="0.39988402966399123"/>
      </top>
      <bottom style="medium">
        <color theme="4" tint="0.39988402966399123"/>
      </bottom>
      <diagonal/>
    </border>
    <border>
      <left/>
      <right style="medium">
        <color theme="4" tint="0.39988402966399123"/>
      </right>
      <top style="medium">
        <color theme="4" tint="0.39988402966399123"/>
      </top>
      <bottom style="medium">
        <color theme="4" tint="0.39988402966399123"/>
      </bottom>
      <diagonal/>
    </border>
    <border>
      <left style="thin">
        <color theme="3" tint="0.39994506668294322"/>
      </left>
      <right style="thin">
        <color theme="3" tint="0.39994506668294322"/>
      </right>
      <top/>
      <bottom style="thin">
        <color theme="3" tint="0.39991454817346722"/>
      </bottom>
      <diagonal/>
    </border>
    <border>
      <left style="medium">
        <color theme="4" tint="0.39991454817346722"/>
      </left>
      <right style="medium">
        <color theme="4" tint="0.39991454817346722"/>
      </right>
      <top/>
      <bottom/>
      <diagonal/>
    </border>
    <border>
      <left/>
      <right style="dashed">
        <color theme="0"/>
      </right>
      <top/>
      <bottom/>
      <diagonal/>
    </border>
    <border>
      <left/>
      <right style="dashed">
        <color theme="0"/>
      </right>
      <top/>
      <bottom style="dashed">
        <color theme="0"/>
      </bottom>
      <diagonal/>
    </border>
    <border>
      <left style="thin">
        <color theme="3" tint="0.39994506668294322"/>
      </left>
      <right style="thin">
        <color theme="3" tint="0.39994506668294322"/>
      </right>
      <top style="thin">
        <color theme="3" tint="0.39991454817346722"/>
      </top>
      <bottom style="thin">
        <color theme="3" tint="0.39991454817346722"/>
      </bottom>
      <diagonal/>
    </border>
    <border>
      <left style="medium">
        <color theme="4" tint="0.39994506668294322"/>
      </left>
      <right style="dashed">
        <color theme="4" tint="0.39991454817346722"/>
      </right>
      <top/>
      <bottom/>
      <diagonal/>
    </border>
    <border>
      <left style="dashed">
        <color theme="4" tint="0.39991454817346722"/>
      </left>
      <right style="dashed">
        <color theme="4" tint="0.39991454817346722"/>
      </right>
      <top/>
      <bottom/>
      <diagonal/>
    </border>
    <border>
      <left style="dashed">
        <color theme="4" tint="0.39991454817346722"/>
      </left>
      <right style="medium">
        <color theme="4" tint="0.39994506668294322"/>
      </right>
      <top/>
      <bottom/>
      <diagonal/>
    </border>
    <border>
      <left style="dashed">
        <color theme="4" tint="0.39991454817346722"/>
      </left>
      <right style="dashed">
        <color theme="4" tint="0.39991454817346722"/>
      </right>
      <top style="medium">
        <color theme="4" tint="0.39991454817346722"/>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medium">
        <color theme="4" tint="0.39988402966399123"/>
      </left>
      <right style="dashed">
        <color theme="4" tint="0.39991454817346722"/>
      </right>
      <top style="medium">
        <color theme="4" tint="0.39991454817346722"/>
      </top>
      <bottom/>
      <diagonal/>
    </border>
    <border>
      <left style="dashed">
        <color theme="4" tint="0.39991454817346722"/>
      </left>
      <right style="medium">
        <color theme="4" tint="0.39988402966399123"/>
      </right>
      <top style="medium">
        <color theme="4" tint="0.39991454817346722"/>
      </top>
      <bottom/>
      <diagonal/>
    </border>
    <border>
      <left style="medium">
        <color theme="4" tint="0.39988402966399123"/>
      </left>
      <right style="dashed">
        <color theme="4" tint="0.39991454817346722"/>
      </right>
      <top/>
      <bottom/>
      <diagonal/>
    </border>
    <border>
      <left style="dashed">
        <color theme="4" tint="0.39991454817346722"/>
      </left>
      <right style="medium">
        <color theme="4" tint="0.39988402966399123"/>
      </right>
      <top/>
      <bottom/>
      <diagonal/>
    </border>
    <border>
      <left/>
      <right/>
      <top style="dashed">
        <color theme="0"/>
      </top>
      <bottom style="dashed">
        <color theme="0"/>
      </bottom>
      <diagonal/>
    </border>
    <border>
      <left style="medium">
        <color theme="4" tint="0.39994506668294322"/>
      </left>
      <right style="medium">
        <color theme="4" tint="0.39991454817346722"/>
      </right>
      <top style="medium">
        <color theme="4" tint="0.39991454817346722"/>
      </top>
      <bottom style="medium">
        <color theme="4" tint="0.39994506668294322"/>
      </bottom>
      <diagonal/>
    </border>
    <border>
      <left style="thin">
        <color indexed="64"/>
      </left>
      <right style="thin">
        <color indexed="64"/>
      </right>
      <top style="thin">
        <color indexed="64"/>
      </top>
      <bottom style="thin">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medium">
        <color theme="4" tint="0.39991454817346722"/>
      </top>
      <bottom style="medium">
        <color theme="4" tint="0.39994506668294322"/>
      </bottom>
      <diagonal/>
    </border>
    <border>
      <left/>
      <right style="medium">
        <color theme="4" tint="0.39994506668294322"/>
      </right>
      <top style="medium">
        <color theme="4" tint="0.39991454817346722"/>
      </top>
      <bottom style="medium">
        <color theme="4" tint="0.39994506668294322"/>
      </bottom>
      <diagonal/>
    </border>
    <border>
      <left/>
      <right style="medium">
        <color theme="4" tint="0.39988402966399123"/>
      </right>
      <top/>
      <bottom/>
      <diagonal/>
    </border>
    <border>
      <left style="medium">
        <color theme="4" tint="0.39991454817346722"/>
      </left>
      <right/>
      <top/>
      <bottom style="medium">
        <color theme="4" tint="0.39991454817346722"/>
      </bottom>
      <diagonal/>
    </border>
    <border>
      <left/>
      <right style="medium">
        <color theme="4" tint="0.39988402966399123"/>
      </right>
      <top style="medium">
        <color theme="4" tint="0.39991454817346722"/>
      </top>
      <bottom/>
      <diagonal/>
    </border>
    <border>
      <left/>
      <right style="medium">
        <color theme="4" tint="0.39988402966399123"/>
      </right>
      <top/>
      <bottom style="medium">
        <color theme="4" tint="0.39991454817346722"/>
      </bottom>
      <diagonal/>
    </border>
    <border>
      <left/>
      <right style="thick">
        <color theme="0"/>
      </right>
      <top style="medium">
        <color theme="0"/>
      </top>
      <bottom style="medium">
        <color theme="0"/>
      </bottom>
      <diagonal/>
    </border>
    <border>
      <left style="thick">
        <color theme="0"/>
      </left>
      <right/>
      <top style="medium">
        <color theme="0"/>
      </top>
      <bottom style="medium">
        <color theme="0"/>
      </bottom>
      <diagonal/>
    </border>
    <border>
      <left style="medium">
        <color theme="4" tint="0.39988402966399123"/>
      </left>
      <right style="dashed">
        <color theme="4" tint="0.39991454817346722"/>
      </right>
      <top/>
      <bottom style="medium">
        <color theme="4" tint="0.39997558519241921"/>
      </bottom>
      <diagonal/>
    </border>
    <border>
      <left style="dashed">
        <color theme="4" tint="0.39991454817346722"/>
      </left>
      <right style="dashed">
        <color theme="4" tint="0.39991454817346722"/>
      </right>
      <top/>
      <bottom style="medium">
        <color theme="4" tint="0.39997558519241921"/>
      </bottom>
      <diagonal/>
    </border>
    <border>
      <left style="dashed">
        <color theme="4" tint="0.39991454817346722"/>
      </left>
      <right style="medium">
        <color theme="4" tint="0.39988402966399123"/>
      </right>
      <top/>
      <bottom style="medium">
        <color theme="4" tint="0.39997558519241921"/>
      </bottom>
      <diagonal/>
    </border>
    <border>
      <left style="medium">
        <color theme="4" tint="0.39994506668294322"/>
      </left>
      <right style="dashed">
        <color theme="4" tint="0.39991454817346722"/>
      </right>
      <top/>
      <bottom style="medium">
        <color theme="4" tint="0.39997558519241921"/>
      </bottom>
      <diagonal/>
    </border>
    <border>
      <left style="dashed">
        <color theme="4" tint="0.39991454817346722"/>
      </left>
      <right style="medium">
        <color theme="4" tint="0.39994506668294322"/>
      </right>
      <top/>
      <bottom style="medium">
        <color theme="4" tint="0.39997558519241921"/>
      </bottom>
      <diagonal/>
    </border>
    <border>
      <left style="medium">
        <color theme="4" tint="0.39994506668294322"/>
      </left>
      <right style="medium">
        <color theme="4" tint="0.39991454817346722"/>
      </right>
      <top/>
      <bottom style="medium">
        <color theme="4" tint="0.39997558519241921"/>
      </bottom>
      <diagonal/>
    </border>
    <border>
      <left style="dashed">
        <color theme="0"/>
      </left>
      <right/>
      <top/>
      <bottom/>
      <diagonal/>
    </border>
    <border>
      <left style="thin">
        <color indexed="64"/>
      </left>
      <right style="thin">
        <color theme="3" tint="-0.24994659260841701"/>
      </right>
      <top style="thin">
        <color theme="3" tint="-0.24994659260841701"/>
      </top>
      <bottom style="thin">
        <color theme="3"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theme="4" tint="0.39994506668294322"/>
      </left>
      <right style="dashDotDot">
        <color theme="4" tint="0.39991454817346722"/>
      </right>
      <top/>
      <bottom style="medium">
        <color theme="4" tint="0.39991454817346722"/>
      </bottom>
      <diagonal/>
    </border>
    <border>
      <left style="medium">
        <color theme="4" tint="0.39994506668294322"/>
      </left>
      <right style="dashDotDot">
        <color theme="4" tint="0.39991454817346722"/>
      </right>
      <top/>
      <bottom/>
      <diagonal/>
    </border>
    <border>
      <left style="dashDotDot">
        <color theme="4" tint="0.39991454817346722"/>
      </left>
      <right style="dashDotDot">
        <color theme="4" tint="0.39991454817346722"/>
      </right>
      <top/>
      <bottom/>
      <diagonal/>
    </border>
    <border>
      <left style="dashDotDot">
        <color theme="4" tint="0.39991454817346722"/>
      </left>
      <right style="medium">
        <color theme="4" tint="0.39994506668294322"/>
      </right>
      <top/>
      <bottom/>
      <diagonal/>
    </border>
    <border>
      <left/>
      <right/>
      <top/>
      <bottom style="dashed">
        <color theme="0"/>
      </bottom>
      <diagonal/>
    </border>
    <border diagonalUp="1" diagonalDown="1">
      <left style="medium">
        <color theme="0"/>
      </left>
      <right style="medium">
        <color theme="0"/>
      </right>
      <top style="medium">
        <color theme="0"/>
      </top>
      <bottom/>
      <diagonal style="medium">
        <color theme="1"/>
      </diagonal>
    </border>
    <border diagonalUp="1" diagonalDown="1">
      <left style="medium">
        <color theme="0"/>
      </left>
      <right style="medium">
        <color theme="0"/>
      </right>
      <top/>
      <bottom style="medium">
        <color theme="0"/>
      </bottom>
      <diagonal style="medium">
        <color theme="1"/>
      </diagonal>
    </border>
    <border diagonalUp="1" diagonalDown="1">
      <left style="medium">
        <color theme="0"/>
      </left>
      <right style="medium">
        <color theme="0"/>
      </right>
      <top style="medium">
        <color theme="0"/>
      </top>
      <bottom style="medium">
        <color theme="0"/>
      </bottom>
      <diagonal style="medium">
        <color theme="1"/>
      </diagonal>
    </border>
    <border>
      <left style="medium">
        <color theme="4" tint="0.39988402966399123"/>
      </left>
      <right/>
      <top style="medium">
        <color theme="4" tint="0.39988402966399123"/>
      </top>
      <bottom style="medium">
        <color theme="4" tint="0.39991454817346722"/>
      </bottom>
      <diagonal/>
    </border>
    <border>
      <left/>
      <right style="medium">
        <color theme="4" tint="0.39988402966399123"/>
      </right>
      <top style="medium">
        <color theme="4" tint="0.39988402966399123"/>
      </top>
      <bottom style="medium">
        <color theme="4" tint="0.39991454817346722"/>
      </bottom>
      <diagonal/>
    </border>
    <border>
      <left style="dashDotDot">
        <color theme="4" tint="0.39991454817346722"/>
      </left>
      <right style="dashDotDot">
        <color theme="4" tint="0.39991454817346722"/>
      </right>
      <top/>
      <bottom style="medium">
        <color theme="4" tint="0.39991454817346722"/>
      </bottom>
      <diagonal/>
    </border>
    <border>
      <left style="dashDotDot">
        <color theme="4" tint="0.39991454817346722"/>
      </left>
      <right style="medium">
        <color theme="4" tint="0.39994506668294322"/>
      </right>
      <top/>
      <bottom style="medium">
        <color theme="4" tint="0.39991454817346722"/>
      </bottom>
      <diagonal/>
    </border>
    <border>
      <left style="medium">
        <color theme="4" tint="0.39988402966399123"/>
      </left>
      <right style="medium">
        <color theme="4" tint="0.39994506668294322"/>
      </right>
      <top/>
      <bottom style="medium">
        <color theme="4" tint="0.39988402966399123"/>
      </bottom>
      <diagonal/>
    </border>
    <border>
      <left style="medium">
        <color theme="4" tint="0.39988402966399123"/>
      </left>
      <right/>
      <top style="medium">
        <color theme="4" tint="0.39985351115451523"/>
      </top>
      <bottom style="medium">
        <color theme="4" tint="0.39985351115451523"/>
      </bottom>
      <diagonal/>
    </border>
    <border>
      <left/>
      <right/>
      <top style="medium">
        <color theme="4" tint="0.39985351115451523"/>
      </top>
      <bottom style="medium">
        <color theme="4" tint="0.39985351115451523"/>
      </bottom>
      <diagonal/>
    </border>
    <border>
      <left/>
      <right style="medium">
        <color theme="4" tint="0.39988402966399123"/>
      </right>
      <top style="medium">
        <color theme="4" tint="0.39985351115451523"/>
      </top>
      <bottom style="medium">
        <color theme="4" tint="0.39985351115451523"/>
      </bottom>
      <diagonal/>
    </border>
    <border>
      <left/>
      <right style="medium">
        <color theme="4" tint="0.39985351115451523"/>
      </right>
      <top style="medium">
        <color theme="4" tint="0.39985351115451523"/>
      </top>
      <bottom style="medium">
        <color theme="4" tint="0.39985351115451523"/>
      </bottom>
      <diagonal/>
    </border>
    <border diagonalUp="1" diagonalDown="1">
      <left/>
      <right/>
      <top/>
      <bottom style="thin">
        <color indexed="18"/>
      </bottom>
      <diagonal style="medium">
        <color auto="1"/>
      </diagonal>
    </border>
    <border>
      <left style="thin">
        <color theme="0"/>
      </left>
      <right/>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theme="0"/>
      </bottom>
      <diagonal/>
    </border>
    <border>
      <left style="medium">
        <color rgb="FFFF0000"/>
      </left>
      <right style="medium">
        <color rgb="FFFF0000"/>
      </right>
      <top style="medium">
        <color theme="0"/>
      </top>
      <bottom style="medium">
        <color rgb="FFFF0000"/>
      </bottom>
      <diagonal/>
    </border>
    <border>
      <left style="medium">
        <color theme="0"/>
      </left>
      <right style="medium">
        <color theme="0"/>
      </right>
      <top style="medium">
        <color theme="0"/>
      </top>
      <bottom style="medium">
        <color rgb="FFFF0000"/>
      </bottom>
      <diagonal/>
    </border>
    <border>
      <left/>
      <right/>
      <top style="medium">
        <color rgb="FFFF0000"/>
      </top>
      <bottom/>
      <diagonal/>
    </border>
    <border>
      <left style="medium">
        <color rgb="FFFF0000"/>
      </left>
      <right style="medium">
        <color rgb="FFFF0000"/>
      </right>
      <top/>
      <bottom/>
      <diagonal/>
    </border>
  </borders>
  <cellStyleXfs count="38">
    <xf numFmtId="0" fontId="0" fillId="0" borderId="0"/>
    <xf numFmtId="44" fontId="8" fillId="0" borderId="0" applyFont="0" applyFill="0" applyBorder="0" applyAlignment="0" applyProtection="0"/>
    <xf numFmtId="0" fontId="8" fillId="0" borderId="0"/>
    <xf numFmtId="0" fontId="11" fillId="0" borderId="0"/>
    <xf numFmtId="0" fontId="13" fillId="0" borderId="0"/>
    <xf numFmtId="0" fontId="38" fillId="0" borderId="0"/>
    <xf numFmtId="0" fontId="37" fillId="0" borderId="0"/>
    <xf numFmtId="0" fontId="25" fillId="0" borderId="0"/>
    <xf numFmtId="9" fontId="8" fillId="0" borderId="0" applyFont="0" applyFill="0" applyBorder="0" applyAlignment="0" applyProtection="0"/>
    <xf numFmtId="9" fontId="11" fillId="0" borderId="0" applyFont="0" applyFill="0" applyBorder="0" applyAlignment="0" applyProtection="0"/>
    <xf numFmtId="0" fontId="8" fillId="0" borderId="0"/>
    <xf numFmtId="43" fontId="7" fillId="0" borderId="0" applyFont="0" applyFill="0" applyBorder="0" applyAlignment="0" applyProtection="0"/>
    <xf numFmtId="0" fontId="4" fillId="0" borderId="0"/>
    <xf numFmtId="9" fontId="188" fillId="0" borderId="0" applyFont="0" applyFill="0" applyBorder="0" applyAlignment="0" applyProtection="0"/>
    <xf numFmtId="44" fontId="188" fillId="0" borderId="0" applyFont="0" applyFill="0" applyBorder="0" applyAlignment="0" applyProtection="0"/>
    <xf numFmtId="0" fontId="3" fillId="0" borderId="0"/>
    <xf numFmtId="0" fontId="192" fillId="0" borderId="0"/>
    <xf numFmtId="9" fontId="192" fillId="0" borderId="0" applyFont="0" applyFill="0" applyBorder="0" applyAlignment="0" applyProtection="0"/>
    <xf numFmtId="44" fontId="8" fillId="0" borderId="0" applyFont="0" applyFill="0" applyBorder="0" applyAlignment="0" applyProtection="0"/>
    <xf numFmtId="0" fontId="8" fillId="0" borderId="0"/>
    <xf numFmtId="0" fontId="2" fillId="0" borderId="0"/>
    <xf numFmtId="9" fontId="8" fillId="0" borderId="0" applyFont="0" applyFill="0" applyBorder="0" applyAlignment="0" applyProtection="0"/>
    <xf numFmtId="43" fontId="2" fillId="0" borderId="0" applyFont="0" applyFill="0" applyBorder="0" applyAlignment="0" applyProtection="0"/>
    <xf numFmtId="0" fontId="2" fillId="0" borderId="0"/>
    <xf numFmtId="44" fontId="188" fillId="0" borderId="0" applyFont="0" applyFill="0" applyBorder="0" applyAlignment="0" applyProtection="0"/>
    <xf numFmtId="0" fontId="2" fillId="0" borderId="0"/>
    <xf numFmtId="44" fontId="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88" fillId="0" borderId="0" applyFont="0" applyFill="0" applyBorder="0" applyAlignment="0" applyProtection="0"/>
    <xf numFmtId="0" fontId="1" fillId="0" borderId="0"/>
    <xf numFmtId="44" fontId="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88" fillId="0" borderId="0" applyFont="0" applyFill="0" applyBorder="0" applyAlignment="0" applyProtection="0"/>
    <xf numFmtId="0" fontId="1" fillId="0" borderId="0"/>
  </cellStyleXfs>
  <cellXfs count="1800">
    <xf numFmtId="0" fontId="0" fillId="0" borderId="0" xfId="0"/>
    <xf numFmtId="0" fontId="40" fillId="0" borderId="0" xfId="0" applyFont="1"/>
    <xf numFmtId="0" fontId="40" fillId="0" borderId="0" xfId="0" applyFont="1" applyFill="1" applyBorder="1"/>
    <xf numFmtId="0" fontId="40" fillId="0" borderId="0" xfId="0" applyFont="1" applyFill="1"/>
    <xf numFmtId="164" fontId="41" fillId="0" borderId="0" xfId="0" applyNumberFormat="1" applyFont="1" applyFill="1" applyBorder="1" applyAlignment="1">
      <alignment horizontal="right" vertical="center" wrapText="1"/>
    </xf>
    <xf numFmtId="0" fontId="40" fillId="0" borderId="0" xfId="0" applyFont="1" applyBorder="1"/>
    <xf numFmtId="14" fontId="0" fillId="0" borderId="0" xfId="0" applyNumberFormat="1"/>
    <xf numFmtId="9" fontId="40" fillId="0" borderId="0" xfId="0" applyNumberFormat="1" applyFont="1"/>
    <xf numFmtId="0" fontId="42" fillId="0" borderId="0" xfId="0" applyFont="1"/>
    <xf numFmtId="0" fontId="9" fillId="0" borderId="0" xfId="2" applyFont="1" applyBorder="1" applyAlignment="1">
      <alignment vertical="center"/>
    </xf>
    <xf numFmtId="49" fontId="0" fillId="0" borderId="0" xfId="0" applyNumberFormat="1"/>
    <xf numFmtId="0" fontId="0" fillId="0" borderId="0" xfId="0" applyAlignment="1"/>
    <xf numFmtId="0" fontId="12" fillId="0" borderId="0" xfId="2" applyFont="1"/>
    <xf numFmtId="0" fontId="12" fillId="0" borderId="0" xfId="2" applyFont="1" applyAlignment="1">
      <alignment vertical="center"/>
    </xf>
    <xf numFmtId="166" fontId="0" fillId="0" borderId="0" xfId="0" applyNumberFormat="1"/>
    <xf numFmtId="0" fontId="0" fillId="0" borderId="0" xfId="0" applyAlignment="1"/>
    <xf numFmtId="0" fontId="40" fillId="0" borderId="0" xfId="2" applyFont="1" applyFill="1" applyBorder="1" applyAlignment="1">
      <alignment horizontal="left" vertical="center" wrapText="1"/>
    </xf>
    <xf numFmtId="0" fontId="40" fillId="0" borderId="0" xfId="2" applyFont="1"/>
    <xf numFmtId="0" fontId="14" fillId="0" borderId="0" xfId="3" applyFont="1" applyFill="1" applyBorder="1" applyAlignment="1">
      <alignment horizontal="left" vertical="center"/>
    </xf>
    <xf numFmtId="0" fontId="10" fillId="0" borderId="0" xfId="2" applyFont="1" applyBorder="1" applyAlignment="1">
      <alignment horizontal="left" vertical="center"/>
    </xf>
    <xf numFmtId="9" fontId="42" fillId="0" borderId="0" xfId="0" applyNumberFormat="1" applyFont="1"/>
    <xf numFmtId="0" fontId="12" fillId="0" borderId="0" xfId="2" applyFont="1" applyBorder="1"/>
    <xf numFmtId="0" fontId="43" fillId="0" borderId="0" xfId="0" applyFont="1" applyFill="1" applyBorder="1" applyAlignment="1">
      <alignment horizontal="left" vertical="center" wrapText="1"/>
    </xf>
    <xf numFmtId="164" fontId="44" fillId="0" borderId="0" xfId="0" applyNumberFormat="1" applyFont="1" applyFill="1" applyBorder="1" applyAlignment="1">
      <alignment horizontal="right" vertical="center" wrapText="1"/>
    </xf>
    <xf numFmtId="0" fontId="44" fillId="0" borderId="0" xfId="0" applyNumberFormat="1" applyFont="1" applyFill="1" applyBorder="1" applyAlignment="1">
      <alignment horizontal="right" vertical="center" wrapText="1"/>
    </xf>
    <xf numFmtId="0" fontId="45" fillId="0" borderId="0" xfId="3" applyFont="1" applyFill="1" applyBorder="1" applyAlignment="1">
      <alignment horizontal="left" vertical="center"/>
    </xf>
    <xf numFmtId="0" fontId="46" fillId="0" borderId="0" xfId="3" applyFont="1" applyFill="1" applyBorder="1" applyAlignment="1">
      <alignment horizontal="left" vertical="center"/>
    </xf>
    <xf numFmtId="14" fontId="47" fillId="0" borderId="0" xfId="0" applyNumberFormat="1" applyFont="1" applyFill="1" applyBorder="1" applyAlignment="1">
      <alignment horizontal="center" vertical="center" wrapText="1"/>
    </xf>
    <xf numFmtId="0" fontId="48" fillId="0" borderId="0" xfId="0" applyFont="1" applyBorder="1" applyAlignment="1">
      <alignment horizontal="center" wrapText="1"/>
    </xf>
    <xf numFmtId="0" fontId="48" fillId="0" borderId="0" xfId="0" applyFont="1" applyFill="1" applyBorder="1" applyAlignment="1">
      <alignment horizontal="center" wrapText="1"/>
    </xf>
    <xf numFmtId="0" fontId="49" fillId="0" borderId="0" xfId="0" applyFont="1" applyBorder="1" applyAlignment="1">
      <alignment horizontal="right" wrapText="1"/>
    </xf>
    <xf numFmtId="0" fontId="51" fillId="0" borderId="0" xfId="3" applyFont="1" applyFill="1" applyBorder="1" applyAlignment="1">
      <alignment horizontal="left" vertical="center"/>
    </xf>
    <xf numFmtId="0" fontId="52" fillId="0" borderId="0" xfId="0" applyFont="1"/>
    <xf numFmtId="0" fontId="53" fillId="0" borderId="0" xfId="0" applyFont="1" applyFill="1" applyBorder="1" applyAlignment="1">
      <alignment horizontal="center" vertical="center" wrapText="1"/>
    </xf>
    <xf numFmtId="0" fontId="54" fillId="0" borderId="0" xfId="0" applyFont="1" applyFill="1" applyBorder="1" applyAlignment="1">
      <alignment horizontal="center" vertical="center"/>
    </xf>
    <xf numFmtId="0" fontId="55" fillId="0" borderId="0" xfId="0" applyFont="1" applyFill="1" applyBorder="1" applyAlignment="1">
      <alignment vertical="center"/>
    </xf>
    <xf numFmtId="0" fontId="55" fillId="2" borderId="0" xfId="0" applyFont="1" applyFill="1" applyBorder="1" applyAlignment="1">
      <alignment horizontal="right" wrapText="1"/>
    </xf>
    <xf numFmtId="0" fontId="55" fillId="0" borderId="0" xfId="0" applyFont="1" applyFill="1" applyBorder="1" applyAlignment="1">
      <alignment horizontal="right" wrapText="1"/>
    </xf>
    <xf numFmtId="0" fontId="55" fillId="0" borderId="0" xfId="0" applyFont="1" applyFill="1" applyBorder="1" applyAlignment="1">
      <alignment wrapText="1"/>
    </xf>
    <xf numFmtId="0" fontId="54" fillId="0" borderId="0" xfId="0" applyFont="1" applyFill="1" applyBorder="1" applyAlignment="1">
      <alignment horizontal="right" wrapText="1"/>
    </xf>
    <xf numFmtId="0" fontId="55" fillId="0" borderId="0" xfId="0" applyFont="1" applyBorder="1" applyAlignment="1">
      <alignment horizontal="left" wrapText="1"/>
    </xf>
    <xf numFmtId="0" fontId="55" fillId="0" borderId="0" xfId="0" applyFont="1" applyBorder="1" applyAlignment="1">
      <alignment horizontal="right" wrapText="1"/>
    </xf>
    <xf numFmtId="0" fontId="55" fillId="0" borderId="0" xfId="0" applyFont="1" applyBorder="1" applyAlignment="1">
      <alignment wrapText="1"/>
    </xf>
    <xf numFmtId="0" fontId="56" fillId="3" borderId="0" xfId="0" applyFont="1" applyFill="1" applyBorder="1" applyAlignment="1">
      <alignment horizontal="left" vertical="center" wrapText="1"/>
    </xf>
    <xf numFmtId="0" fontId="57" fillId="3" borderId="0" xfId="0" applyFont="1" applyFill="1" applyBorder="1" applyAlignment="1">
      <alignment horizontal="right" vertical="center" wrapText="1"/>
    </xf>
    <xf numFmtId="164" fontId="57" fillId="3" borderId="0" xfId="0" applyNumberFormat="1" applyFont="1" applyFill="1" applyBorder="1" applyAlignment="1">
      <alignment horizontal="right" vertical="center" wrapText="1"/>
    </xf>
    <xf numFmtId="164" fontId="54" fillId="0" borderId="0" xfId="0" applyNumberFormat="1" applyFont="1" applyFill="1" applyBorder="1" applyAlignment="1">
      <alignment horizontal="right" vertical="center" wrapText="1"/>
    </xf>
    <xf numFmtId="0" fontId="58" fillId="4" borderId="0" xfId="0" applyFont="1" applyFill="1" applyBorder="1" applyAlignment="1">
      <alignment horizontal="left" vertical="center" wrapText="1"/>
    </xf>
    <xf numFmtId="164" fontId="59" fillId="4" borderId="0" xfId="0" applyNumberFormat="1" applyFont="1" applyFill="1" applyBorder="1" applyAlignment="1">
      <alignment horizontal="right" vertical="center" wrapText="1"/>
    </xf>
    <xf numFmtId="0" fontId="56" fillId="0" borderId="0" xfId="0" applyFont="1" applyFill="1" applyBorder="1" applyAlignment="1">
      <alignment horizontal="left" wrapText="1"/>
    </xf>
    <xf numFmtId="0" fontId="57" fillId="0" borderId="0" xfId="0" applyFont="1" applyFill="1" applyBorder="1" applyAlignment="1">
      <alignment horizontal="right" wrapText="1"/>
    </xf>
    <xf numFmtId="0" fontId="56" fillId="3" borderId="0" xfId="0" applyFont="1" applyFill="1" applyBorder="1" applyAlignment="1">
      <alignment horizontal="left" wrapText="1"/>
    </xf>
    <xf numFmtId="0" fontId="57" fillId="3" borderId="0" xfId="0" applyFont="1" applyFill="1" applyBorder="1" applyAlignment="1">
      <alignment horizontal="right" wrapText="1"/>
    </xf>
    <xf numFmtId="0" fontId="54" fillId="3" borderId="0" xfId="0" applyFont="1" applyFill="1" applyBorder="1" applyAlignment="1">
      <alignment horizontal="right" vertical="center" wrapText="1"/>
    </xf>
    <xf numFmtId="0" fontId="56" fillId="0" borderId="0" xfId="0" applyFont="1" applyFill="1" applyBorder="1" applyAlignment="1">
      <alignment horizontal="left" vertical="center" wrapText="1"/>
    </xf>
    <xf numFmtId="0" fontId="57" fillId="0" borderId="0" xfId="0" applyNumberFormat="1" applyFont="1" applyFill="1" applyBorder="1" applyAlignment="1">
      <alignment horizontal="right" vertical="center" wrapText="1"/>
    </xf>
    <xf numFmtId="0" fontId="38" fillId="0" borderId="0" xfId="0" applyFont="1"/>
    <xf numFmtId="0" fontId="55" fillId="0" borderId="0" xfId="0" applyFont="1"/>
    <xf numFmtId="0" fontId="55" fillId="0" borderId="0" xfId="0" applyFont="1" applyFill="1" applyBorder="1"/>
    <xf numFmtId="0" fontId="55" fillId="0" borderId="0" xfId="0" applyFont="1" applyBorder="1"/>
    <xf numFmtId="0" fontId="50" fillId="0" borderId="0" xfId="0" applyFont="1" applyFill="1" applyBorder="1" applyAlignment="1">
      <alignment vertical="center"/>
    </xf>
    <xf numFmtId="0" fontId="57" fillId="3" borderId="0" xfId="0" applyFont="1" applyFill="1" applyBorder="1" applyAlignment="1">
      <alignment horizontal="left" vertical="center" wrapText="1"/>
    </xf>
    <xf numFmtId="0" fontId="53" fillId="2" borderId="0" xfId="0" applyFont="1" applyFill="1" applyBorder="1" applyAlignment="1">
      <alignment horizontal="center" vertical="center" wrapText="1"/>
    </xf>
    <xf numFmtId="0" fontId="55" fillId="2" borderId="0" xfId="0" applyFont="1" applyFill="1" applyBorder="1"/>
    <xf numFmtId="14" fontId="54" fillId="0" borderId="0" xfId="0" applyNumberFormat="1" applyFont="1" applyFill="1" applyAlignment="1">
      <alignment horizontal="center" vertical="center"/>
    </xf>
    <xf numFmtId="9" fontId="55" fillId="0" borderId="0" xfId="0" applyNumberFormat="1" applyFont="1"/>
    <xf numFmtId="0" fontId="55" fillId="0" borderId="0" xfId="0" applyFont="1" applyFill="1"/>
    <xf numFmtId="0" fontId="38" fillId="0" borderId="0" xfId="0" applyFont="1" applyBorder="1"/>
    <xf numFmtId="0" fontId="49" fillId="0" borderId="0" xfId="0" applyFont="1" applyBorder="1" applyAlignment="1">
      <alignment horizontal="left" wrapText="1"/>
    </xf>
    <xf numFmtId="0" fontId="55" fillId="0" borderId="0" xfId="0" applyFont="1" applyFill="1" applyBorder="1" applyAlignment="1">
      <alignment horizontal="right"/>
    </xf>
    <xf numFmtId="0" fontId="19" fillId="0" borderId="0" xfId="3" applyFont="1"/>
    <xf numFmtId="0" fontId="16" fillId="0" borderId="0" xfId="3" applyFont="1" applyFill="1" applyBorder="1" applyAlignment="1">
      <alignment horizontal="left" vertical="center"/>
    </xf>
    <xf numFmtId="0" fontId="17" fillId="0" borderId="0" xfId="3" applyFont="1" applyFill="1" applyBorder="1" applyAlignment="1">
      <alignment horizontal="left" vertical="center"/>
    </xf>
    <xf numFmtId="0" fontId="19" fillId="0" borderId="0" xfId="3" applyFont="1" applyFill="1" applyBorder="1"/>
    <xf numFmtId="0" fontId="17" fillId="0" borderId="0" xfId="3" applyFont="1" applyBorder="1" applyAlignment="1">
      <alignment vertical="center"/>
    </xf>
    <xf numFmtId="0" fontId="19" fillId="0" borderId="0" xfId="3" applyFont="1" applyFill="1"/>
    <xf numFmtId="0" fontId="15" fillId="0" borderId="0" xfId="3" applyFont="1" applyFill="1" applyBorder="1" applyAlignment="1">
      <alignment horizontal="center" vertical="center"/>
    </xf>
    <xf numFmtId="0" fontId="17" fillId="0" borderId="0" xfId="3" applyFont="1" applyFill="1" applyBorder="1" applyAlignment="1">
      <alignment horizontal="center" vertical="center"/>
    </xf>
    <xf numFmtId="9" fontId="17" fillId="0" borderId="0" xfId="9" applyFont="1" applyFill="1" applyBorder="1" applyAlignment="1">
      <alignment horizontal="center" vertical="center"/>
    </xf>
    <xf numFmtId="10" fontId="19" fillId="0" borderId="0" xfId="3" applyNumberFormat="1" applyFont="1"/>
    <xf numFmtId="0" fontId="19" fillId="0" borderId="0" xfId="3" applyFont="1" applyBorder="1"/>
    <xf numFmtId="0" fontId="20" fillId="0" borderId="0" xfId="3" applyFont="1" applyBorder="1" applyAlignment="1">
      <alignment horizontal="left" vertical="center"/>
    </xf>
    <xf numFmtId="0" fontId="18" fillId="0" borderId="0" xfId="2" applyFont="1" applyBorder="1" applyAlignment="1">
      <alignment horizontal="center" vertical="center"/>
    </xf>
    <xf numFmtId="0" fontId="19" fillId="0" borderId="0" xfId="3" applyFont="1" applyFill="1" applyBorder="1" applyAlignment="1">
      <alignment horizontal="center"/>
    </xf>
    <xf numFmtId="1" fontId="17" fillId="0" borderId="0" xfId="3" applyNumberFormat="1" applyFont="1" applyFill="1" applyBorder="1" applyAlignment="1">
      <alignment horizontal="center" vertical="center"/>
    </xf>
    <xf numFmtId="0" fontId="51" fillId="0" borderId="0" xfId="2" applyFont="1" applyBorder="1" applyAlignment="1">
      <alignment horizontal="left" vertical="center"/>
    </xf>
    <xf numFmtId="0" fontId="51" fillId="0" borderId="0" xfId="2" applyFont="1" applyBorder="1" applyAlignment="1">
      <alignment horizontal="center" vertical="center"/>
    </xf>
    <xf numFmtId="0" fontId="21" fillId="0" borderId="0" xfId="3" applyFont="1"/>
    <xf numFmtId="0" fontId="22" fillId="0" borderId="0" xfId="3" applyFont="1" applyBorder="1" applyAlignment="1">
      <alignment horizontal="left" vertical="center"/>
    </xf>
    <xf numFmtId="0" fontId="55" fillId="0" borderId="0" xfId="3" applyFont="1" applyBorder="1" applyAlignment="1">
      <alignment horizontal="right" vertical="center"/>
    </xf>
    <xf numFmtId="0" fontId="55" fillId="0" borderId="0" xfId="3" applyFont="1" applyBorder="1" applyAlignment="1">
      <alignment horizontal="center" vertical="center"/>
    </xf>
    <xf numFmtId="0" fontId="49" fillId="0" borderId="0" xfId="3" applyFont="1"/>
    <xf numFmtId="0" fontId="55" fillId="2" borderId="0" xfId="3" applyFont="1" applyFill="1" applyBorder="1" applyAlignment="1">
      <alignment horizontal="right" vertical="center"/>
    </xf>
    <xf numFmtId="0" fontId="55" fillId="2" borderId="0" xfId="3" applyFont="1" applyFill="1" applyBorder="1" applyAlignment="1">
      <alignment horizontal="center" vertical="center"/>
    </xf>
    <xf numFmtId="0" fontId="49" fillId="2" borderId="0" xfId="3" applyFont="1" applyFill="1"/>
    <xf numFmtId="0" fontId="55" fillId="0" borderId="0" xfId="3" applyFont="1" applyFill="1" applyBorder="1" applyAlignment="1">
      <alignment horizontal="right" vertical="center"/>
    </xf>
    <xf numFmtId="0" fontId="55" fillId="0" borderId="0" xfId="3" applyFont="1" applyFill="1" applyBorder="1" applyAlignment="1">
      <alignment horizontal="center" vertical="center"/>
    </xf>
    <xf numFmtId="0" fontId="49" fillId="0" borderId="0" xfId="3" applyFont="1" applyFill="1"/>
    <xf numFmtId="9" fontId="55" fillId="0" borderId="0" xfId="9" applyFont="1" applyFill="1" applyBorder="1" applyAlignment="1">
      <alignment horizontal="center" vertical="center"/>
    </xf>
    <xf numFmtId="0" fontId="49" fillId="0" borderId="0" xfId="3" applyFont="1" applyBorder="1" applyAlignment="1">
      <alignment horizontal="center"/>
    </xf>
    <xf numFmtId="1" fontId="55" fillId="2" borderId="0" xfId="3" applyNumberFormat="1" applyFont="1" applyFill="1" applyBorder="1" applyAlignment="1">
      <alignment horizontal="center" vertical="center"/>
    </xf>
    <xf numFmtId="0" fontId="60" fillId="0" borderId="0" xfId="2" applyFont="1"/>
    <xf numFmtId="0" fontId="55" fillId="0" borderId="3" xfId="0" applyFont="1" applyBorder="1" applyAlignment="1">
      <alignment horizontal="right" wrapText="1"/>
    </xf>
    <xf numFmtId="0" fontId="55" fillId="0" borderId="4" xfId="0" applyFont="1" applyBorder="1" applyAlignment="1">
      <alignment horizontal="right" wrapText="1"/>
    </xf>
    <xf numFmtId="0" fontId="19" fillId="0" borderId="0" xfId="3" applyFont="1" applyFill="1" applyBorder="1" applyAlignment="1">
      <alignment horizontal="left"/>
    </xf>
    <xf numFmtId="0" fontId="23" fillId="0" borderId="0" xfId="2" applyFont="1"/>
    <xf numFmtId="0" fontId="23" fillId="0" borderId="0" xfId="2" applyFont="1" applyFill="1"/>
    <xf numFmtId="0" fontId="23" fillId="0" borderId="0" xfId="2" applyFont="1" applyAlignment="1">
      <alignment horizontal="center" vertical="center"/>
    </xf>
    <xf numFmtId="0" fontId="23" fillId="0" borderId="0" xfId="2" applyFont="1" applyFill="1" applyBorder="1" applyAlignment="1">
      <alignment horizontal="left"/>
    </xf>
    <xf numFmtId="0" fontId="22" fillId="0" borderId="0" xfId="2" applyFont="1" applyFill="1" applyBorder="1" applyAlignment="1">
      <alignment horizontal="center"/>
    </xf>
    <xf numFmtId="0" fontId="22" fillId="0" borderId="0" xfId="2" applyFont="1" applyFill="1" applyBorder="1" applyAlignment="1">
      <alignment horizontal="left"/>
    </xf>
    <xf numFmtId="0" fontId="24" fillId="0" borderId="0" xfId="2" applyFont="1" applyFill="1" applyBorder="1" applyAlignment="1">
      <alignment horizontal="left" vertical="center"/>
    </xf>
    <xf numFmtId="0" fontId="17" fillId="0" borderId="0" xfId="2" applyFont="1" applyFill="1" applyBorder="1" applyAlignment="1">
      <alignment horizontal="center"/>
    </xf>
    <xf numFmtId="9" fontId="23" fillId="0" borderId="0" xfId="2" applyNumberFormat="1" applyFont="1"/>
    <xf numFmtId="0" fontId="55" fillId="0" borderId="5" xfId="3" applyFont="1" applyBorder="1" applyAlignment="1">
      <alignment horizontal="center" vertical="center"/>
    </xf>
    <xf numFmtId="0" fontId="55" fillId="0" borderId="6" xfId="3" applyFont="1" applyBorder="1" applyAlignment="1">
      <alignment horizontal="center" vertical="center"/>
    </xf>
    <xf numFmtId="0" fontId="55" fillId="2" borderId="5" xfId="3" applyFont="1" applyFill="1" applyBorder="1" applyAlignment="1">
      <alignment horizontal="center" vertical="center"/>
    </xf>
    <xf numFmtId="0" fontId="55" fillId="2" borderId="6" xfId="3" applyFont="1" applyFill="1" applyBorder="1" applyAlignment="1">
      <alignment horizontal="center" vertical="center"/>
    </xf>
    <xf numFmtId="0" fontId="55" fillId="0" borderId="5" xfId="3" applyFont="1" applyFill="1" applyBorder="1" applyAlignment="1">
      <alignment horizontal="center" vertical="center"/>
    </xf>
    <xf numFmtId="0" fontId="55" fillId="0" borderId="6" xfId="3" applyFont="1" applyFill="1" applyBorder="1" applyAlignment="1">
      <alignment horizontal="center" vertical="center"/>
    </xf>
    <xf numFmtId="0" fontId="55" fillId="2" borderId="7" xfId="3" applyFont="1" applyFill="1" applyBorder="1" applyAlignment="1">
      <alignment horizontal="center" vertical="center"/>
    </xf>
    <xf numFmtId="0" fontId="55" fillId="2" borderId="8" xfId="3" applyFont="1" applyFill="1" applyBorder="1" applyAlignment="1">
      <alignment horizontal="center" vertical="center"/>
    </xf>
    <xf numFmtId="0" fontId="55" fillId="2" borderId="9" xfId="3" applyFont="1" applyFill="1" applyBorder="1" applyAlignment="1">
      <alignment horizontal="center" vertical="center"/>
    </xf>
    <xf numFmtId="0" fontId="49" fillId="0" borderId="5" xfId="3" applyFont="1" applyBorder="1" applyAlignment="1">
      <alignment horizontal="center"/>
    </xf>
    <xf numFmtId="0" fontId="49" fillId="0" borderId="6" xfId="3" applyFont="1" applyBorder="1" applyAlignment="1">
      <alignment horizontal="center"/>
    </xf>
    <xf numFmtId="0" fontId="49" fillId="0" borderId="10" xfId="3" applyFont="1" applyBorder="1" applyAlignment="1">
      <alignment horizontal="center"/>
    </xf>
    <xf numFmtId="9" fontId="55" fillId="0" borderId="11" xfId="9" applyFont="1" applyFill="1" applyBorder="1" applyAlignment="1">
      <alignment horizontal="center" vertical="center"/>
    </xf>
    <xf numFmtId="0" fontId="49" fillId="0" borderId="12" xfId="3" applyFont="1" applyBorder="1" applyAlignment="1">
      <alignment horizontal="center"/>
    </xf>
    <xf numFmtId="9" fontId="42" fillId="0" borderId="0" xfId="0" applyNumberFormat="1" applyFont="1" applyAlignment="1">
      <alignment horizontal="left"/>
    </xf>
    <xf numFmtId="0" fontId="61" fillId="0" borderId="0" xfId="0" applyFont="1" applyBorder="1" applyAlignment="1">
      <alignment horizontal="center"/>
    </xf>
    <xf numFmtId="0" fontId="61" fillId="0" borderId="0" xfId="0" applyFont="1" applyFill="1" applyBorder="1" applyAlignment="1">
      <alignment horizontal="center"/>
    </xf>
    <xf numFmtId="10" fontId="61" fillId="0" borderId="0" xfId="0" applyNumberFormat="1" applyFont="1" applyBorder="1" applyAlignment="1">
      <alignment horizontal="center"/>
    </xf>
    <xf numFmtId="0" fontId="52" fillId="0" borderId="0" xfId="0" applyFont="1" applyBorder="1"/>
    <xf numFmtId="0" fontId="49" fillId="0" borderId="13" xfId="0" applyFont="1" applyBorder="1" applyAlignment="1">
      <alignment horizontal="right" wrapText="1"/>
    </xf>
    <xf numFmtId="0" fontId="48" fillId="0" borderId="0" xfId="0" applyFont="1" applyBorder="1" applyAlignment="1">
      <alignment horizontal="right" wrapText="1"/>
    </xf>
    <xf numFmtId="0" fontId="59" fillId="5" borderId="0" xfId="0" applyFont="1" applyFill="1" applyBorder="1" applyAlignment="1">
      <alignment horizontal="center" vertical="center" wrapText="1"/>
    </xf>
    <xf numFmtId="0" fontId="38" fillId="0" borderId="0" xfId="0" applyFont="1" applyFill="1"/>
    <xf numFmtId="0" fontId="55" fillId="0" borderId="0" xfId="0" applyNumberFormat="1" applyFont="1" applyFill="1"/>
    <xf numFmtId="0" fontId="62" fillId="0" borderId="0" xfId="0" applyFont="1"/>
    <xf numFmtId="0" fontId="0" fillId="0" borderId="0" xfId="0" applyAlignment="1">
      <alignment vertical="center"/>
    </xf>
    <xf numFmtId="0" fontId="55" fillId="0" borderId="0" xfId="0" applyFont="1" applyAlignment="1">
      <alignment horizontal="center"/>
    </xf>
    <xf numFmtId="0" fontId="38" fillId="0" borderId="0" xfId="5"/>
    <xf numFmtId="0" fontId="54" fillId="0" borderId="0" xfId="2" applyFont="1" applyBorder="1" applyAlignment="1">
      <alignment horizontal="center" vertical="center"/>
    </xf>
    <xf numFmtId="0" fontId="55" fillId="0" borderId="0" xfId="2" applyFont="1" applyAlignment="1">
      <alignment horizontal="center"/>
    </xf>
    <xf numFmtId="9" fontId="55" fillId="0" borderId="0" xfId="0" applyNumberFormat="1" applyFont="1" applyAlignment="1">
      <alignment horizontal="left"/>
    </xf>
    <xf numFmtId="9" fontId="0" fillId="0" borderId="0" xfId="0" applyNumberFormat="1"/>
    <xf numFmtId="0" fontId="12" fillId="0" borderId="0" xfId="2" applyFont="1" applyAlignment="1">
      <alignment horizontal="left" vertical="center"/>
    </xf>
    <xf numFmtId="9" fontId="12" fillId="0" borderId="0" xfId="2" applyNumberFormat="1" applyFont="1" applyAlignment="1">
      <alignment vertical="center"/>
    </xf>
    <xf numFmtId="0" fontId="54" fillId="0" borderId="0" xfId="2" applyFont="1" applyBorder="1" applyAlignment="1">
      <alignment vertical="center"/>
    </xf>
    <xf numFmtId="0" fontId="40" fillId="0" borderId="0" xfId="2" applyFont="1" applyAlignment="1">
      <alignment wrapText="1"/>
    </xf>
    <xf numFmtId="0" fontId="40" fillId="0" borderId="0" xfId="2" applyFont="1" applyAlignment="1">
      <alignment vertical="center"/>
    </xf>
    <xf numFmtId="9" fontId="12" fillId="0" borderId="0" xfId="2" applyNumberFormat="1" applyFont="1" applyAlignment="1">
      <alignment horizontal="left" vertical="center"/>
    </xf>
    <xf numFmtId="9" fontId="0" fillId="0" borderId="0" xfId="0" applyNumberFormat="1" applyAlignment="1">
      <alignment horizontal="left"/>
    </xf>
    <xf numFmtId="0" fontId="0" fillId="0" borderId="0" xfId="0" applyAlignment="1">
      <alignment horizontal="right"/>
    </xf>
    <xf numFmtId="0" fontId="0" fillId="0" borderId="0" xfId="0" applyAlignment="1">
      <alignment horizontal="left"/>
    </xf>
    <xf numFmtId="0" fontId="63" fillId="0" borderId="0" xfId="0" applyFont="1"/>
    <xf numFmtId="9" fontId="62" fillId="0" borderId="0" xfId="0" applyNumberFormat="1" applyFont="1"/>
    <xf numFmtId="0" fontId="64" fillId="0" borderId="0" xfId="0" applyFont="1"/>
    <xf numFmtId="9" fontId="64" fillId="0" borderId="0" xfId="0" applyNumberFormat="1" applyFont="1"/>
    <xf numFmtId="0" fontId="27" fillId="0" borderId="0" xfId="0" applyFont="1"/>
    <xf numFmtId="0" fontId="26" fillId="0" borderId="0" xfId="7" applyFont="1" applyFill="1" applyBorder="1" applyAlignment="1">
      <alignment horizontal="center" vertical="center" wrapText="1"/>
    </xf>
    <xf numFmtId="0" fontId="63" fillId="0" borderId="0" xfId="0" applyFont="1" applyAlignment="1">
      <alignment horizontal="right"/>
    </xf>
    <xf numFmtId="0" fontId="38" fillId="0" borderId="0" xfId="0" applyFont="1" applyAlignment="1">
      <alignment horizontal="right"/>
    </xf>
    <xf numFmtId="6" fontId="38" fillId="0" borderId="0" xfId="0" applyNumberFormat="1" applyFont="1" applyAlignment="1">
      <alignment horizontal="left"/>
    </xf>
    <xf numFmtId="0" fontId="55" fillId="6" borderId="16" xfId="0" applyFont="1" applyFill="1" applyBorder="1" applyAlignment="1">
      <alignment vertical="center"/>
    </xf>
    <xf numFmtId="6" fontId="55" fillId="0" borderId="0" xfId="0" applyNumberFormat="1" applyFont="1" applyFill="1" applyBorder="1" applyAlignment="1">
      <alignment vertical="center"/>
    </xf>
    <xf numFmtId="9" fontId="38" fillId="0" borderId="0" xfId="0" applyNumberFormat="1" applyFont="1"/>
    <xf numFmtId="0" fontId="55" fillId="0" borderId="0" xfId="0" applyFont="1" applyAlignment="1">
      <alignment vertical="center"/>
    </xf>
    <xf numFmtId="0" fontId="55" fillId="0" borderId="0" xfId="0" applyFont="1" applyAlignment="1">
      <alignment horizontal="right"/>
    </xf>
    <xf numFmtId="0" fontId="65" fillId="0" borderId="0" xfId="0" applyFont="1"/>
    <xf numFmtId="0" fontId="54" fillId="6" borderId="14" xfId="0" applyFont="1" applyFill="1" applyBorder="1" applyAlignment="1">
      <alignment horizontal="center" vertical="center"/>
    </xf>
    <xf numFmtId="167" fontId="38" fillId="0" borderId="0" xfId="0" applyNumberFormat="1" applyFont="1"/>
    <xf numFmtId="9" fontId="27" fillId="0" borderId="0" xfId="0" applyNumberFormat="1" applyFont="1" applyFill="1" applyBorder="1"/>
    <xf numFmtId="0" fontId="0" fillId="0" borderId="0" xfId="0" applyFont="1"/>
    <xf numFmtId="0" fontId="66" fillId="0" borderId="0" xfId="0" applyFont="1"/>
    <xf numFmtId="0" fontId="67" fillId="0" borderId="0" xfId="0" applyFont="1"/>
    <xf numFmtId="0" fontId="68" fillId="0" borderId="0" xfId="0" applyFont="1"/>
    <xf numFmtId="0" fontId="69" fillId="0" borderId="0" xfId="0" applyFont="1"/>
    <xf numFmtId="0" fontId="0" fillId="0" borderId="0" xfId="0" applyFill="1"/>
    <xf numFmtId="0" fontId="66" fillId="0" borderId="0" xfId="0" applyFont="1" applyBorder="1"/>
    <xf numFmtId="0" fontId="22" fillId="0" borderId="0" xfId="2" applyFont="1" applyBorder="1" applyAlignment="1">
      <alignment vertical="center"/>
    </xf>
    <xf numFmtId="0" fontId="23" fillId="0" borderId="0" xfId="2" applyFont="1" applyBorder="1"/>
    <xf numFmtId="0" fontId="19" fillId="6" borderId="0" xfId="3" applyFont="1" applyFill="1" applyBorder="1"/>
    <xf numFmtId="0" fontId="19" fillId="6" borderId="0" xfId="3" applyFont="1" applyFill="1"/>
    <xf numFmtId="0" fontId="19" fillId="3" borderId="0" xfId="3" applyFont="1" applyFill="1"/>
    <xf numFmtId="0" fontId="0" fillId="0" borderId="0" xfId="0" applyBorder="1"/>
    <xf numFmtId="0" fontId="54" fillId="3" borderId="22" xfId="0" applyFont="1" applyFill="1" applyBorder="1" applyAlignment="1">
      <alignment horizontal="right" vertical="center"/>
    </xf>
    <xf numFmtId="9" fontId="59" fillId="4" borderId="22" xfId="0" applyNumberFormat="1" applyFont="1" applyFill="1" applyBorder="1" applyAlignment="1">
      <alignment horizontal="center" vertical="center"/>
    </xf>
    <xf numFmtId="0" fontId="55" fillId="6" borderId="22" xfId="0" applyFont="1" applyFill="1" applyBorder="1" applyAlignment="1">
      <alignment horizontal="right" vertical="center"/>
    </xf>
    <xf numFmtId="0" fontId="63" fillId="0" borderId="0" xfId="0" applyFont="1" applyBorder="1"/>
    <xf numFmtId="1" fontId="38" fillId="0" borderId="0" xfId="0" applyNumberFormat="1" applyFont="1"/>
    <xf numFmtId="0" fontId="70" fillId="0" borderId="0" xfId="0" applyFont="1"/>
    <xf numFmtId="0" fontId="48" fillId="0" borderId="0" xfId="0" applyFont="1" applyFill="1" applyBorder="1" applyAlignment="1"/>
    <xf numFmtId="0" fontId="55" fillId="0" borderId="0" xfId="0" applyFont="1" applyFill="1" applyBorder="1" applyAlignment="1">
      <alignment horizontal="left"/>
    </xf>
    <xf numFmtId="0" fontId="40" fillId="6" borderId="14" xfId="0" applyFont="1" applyFill="1" applyBorder="1"/>
    <xf numFmtId="0" fontId="54" fillId="6" borderId="14" xfId="0" applyFont="1" applyFill="1" applyBorder="1"/>
    <xf numFmtId="0" fontId="55" fillId="0" borderId="0" xfId="0" applyFont="1" applyAlignment="1">
      <alignment wrapText="1"/>
    </xf>
    <xf numFmtId="0" fontId="49" fillId="0" borderId="0" xfId="0" applyFont="1"/>
    <xf numFmtId="0" fontId="55" fillId="0" borderId="14" xfId="0" applyFont="1" applyFill="1" applyBorder="1"/>
    <xf numFmtId="0" fontId="55" fillId="6" borderId="14" xfId="0" applyFont="1" applyFill="1" applyBorder="1" applyAlignment="1">
      <alignment horizontal="right"/>
    </xf>
    <xf numFmtId="0" fontId="54" fillId="0" borderId="0" xfId="0" applyFont="1" applyFill="1" applyBorder="1" applyAlignment="1">
      <alignment horizontal="center" vertical="center" wrapText="1"/>
    </xf>
    <xf numFmtId="0" fontId="71" fillId="0" borderId="0" xfId="0" applyFont="1"/>
    <xf numFmtId="0" fontId="55" fillId="0" borderId="0" xfId="0" applyFont="1" applyFill="1" applyBorder="1" applyAlignment="1">
      <alignment horizontal="center" vertical="center"/>
    </xf>
    <xf numFmtId="0" fontId="28" fillId="0" borderId="0" xfId="2" applyFont="1"/>
    <xf numFmtId="0" fontId="17" fillId="0" borderId="0" xfId="2" applyFont="1"/>
    <xf numFmtId="49" fontId="55" fillId="0" borderId="0" xfId="2" applyNumberFormat="1" applyFont="1"/>
    <xf numFmtId="0" fontId="55" fillId="0" borderId="0" xfId="2" applyFont="1" applyBorder="1" applyAlignment="1">
      <alignment horizontal="center"/>
    </xf>
    <xf numFmtId="0" fontId="55" fillId="0" borderId="0" xfId="2" applyFont="1" applyBorder="1"/>
    <xf numFmtId="9" fontId="54" fillId="0" borderId="1" xfId="2" applyNumberFormat="1" applyFont="1" applyBorder="1" applyAlignment="1">
      <alignment horizontal="center"/>
    </xf>
    <xf numFmtId="9" fontId="55" fillId="0" borderId="0" xfId="2" applyNumberFormat="1" applyFont="1" applyBorder="1" applyAlignment="1">
      <alignment horizontal="center"/>
    </xf>
    <xf numFmtId="0" fontId="54" fillId="0" borderId="0" xfId="2" applyFont="1"/>
    <xf numFmtId="9" fontId="55" fillId="0" borderId="1" xfId="2" applyNumberFormat="1" applyFont="1" applyBorder="1" applyAlignment="1">
      <alignment horizontal="center"/>
    </xf>
    <xf numFmtId="0" fontId="55" fillId="0" borderId="1" xfId="2" applyFont="1" applyBorder="1" applyAlignment="1">
      <alignment horizontal="center"/>
    </xf>
    <xf numFmtId="0" fontId="72" fillId="0" borderId="0" xfId="2" applyFont="1" applyBorder="1" applyAlignment="1">
      <alignment horizontal="center" vertical="center" wrapText="1"/>
    </xf>
    <xf numFmtId="0" fontId="54" fillId="6" borderId="0" xfId="2" applyFont="1" applyFill="1" applyBorder="1" applyAlignment="1">
      <alignment horizontal="center" vertical="center"/>
    </xf>
    <xf numFmtId="0" fontId="55" fillId="0" borderId="0" xfId="2" applyFont="1" applyAlignment="1"/>
    <xf numFmtId="0" fontId="47" fillId="0" borderId="0" xfId="2" applyFont="1"/>
    <xf numFmtId="0" fontId="28" fillId="0" borderId="0" xfId="2" applyFont="1" applyAlignment="1">
      <alignment horizontal="center"/>
    </xf>
    <xf numFmtId="0" fontId="55" fillId="6" borderId="0" xfId="2" applyFont="1" applyFill="1" applyBorder="1" applyAlignment="1">
      <alignment horizontal="center"/>
    </xf>
    <xf numFmtId="0" fontId="54" fillId="6" borderId="1" xfId="2" applyFont="1" applyFill="1" applyBorder="1" applyAlignment="1">
      <alignment horizontal="center"/>
    </xf>
    <xf numFmtId="9" fontId="55" fillId="6" borderId="0" xfId="2" applyNumberFormat="1" applyFont="1" applyFill="1" applyBorder="1" applyAlignment="1">
      <alignment horizontal="center"/>
    </xf>
    <xf numFmtId="0" fontId="54" fillId="6" borderId="1" xfId="2" applyFont="1" applyFill="1" applyBorder="1" applyAlignment="1">
      <alignment horizontal="center" vertical="center"/>
    </xf>
    <xf numFmtId="0" fontId="54" fillId="6" borderId="0" xfId="2" applyFont="1" applyFill="1" applyBorder="1" applyAlignment="1">
      <alignment horizontal="center"/>
    </xf>
    <xf numFmtId="0" fontId="17" fillId="0" borderId="0" xfId="2" applyFont="1" applyBorder="1" applyAlignment="1">
      <alignment horizontal="center"/>
    </xf>
    <xf numFmtId="0" fontId="28" fillId="0" borderId="0" xfId="2" applyFont="1" applyBorder="1" applyAlignment="1">
      <alignment horizontal="center"/>
    </xf>
    <xf numFmtId="0" fontId="55" fillId="0" borderId="0" xfId="2" applyFont="1" applyFill="1" applyBorder="1" applyAlignment="1">
      <alignment horizontal="center"/>
    </xf>
    <xf numFmtId="9" fontId="55" fillId="0" borderId="0" xfId="2" applyNumberFormat="1" applyFont="1" applyFill="1" applyBorder="1" applyAlignment="1">
      <alignment horizontal="center"/>
    </xf>
    <xf numFmtId="0" fontId="72" fillId="0" borderId="0" xfId="2" applyFont="1" applyFill="1" applyBorder="1" applyAlignment="1">
      <alignment horizontal="center" vertical="center" wrapText="1"/>
    </xf>
    <xf numFmtId="0" fontId="74" fillId="0" borderId="0" xfId="0" applyFont="1" applyBorder="1"/>
    <xf numFmtId="0" fontId="75" fillId="0" borderId="0" xfId="0" applyFont="1"/>
    <xf numFmtId="0" fontId="74" fillId="0" borderId="0" xfId="0" applyFont="1"/>
    <xf numFmtId="0" fontId="76" fillId="0" borderId="0" xfId="0" applyFont="1"/>
    <xf numFmtId="167" fontId="55" fillId="0" borderId="0" xfId="0" applyNumberFormat="1" applyFont="1" applyFill="1" applyBorder="1" applyAlignment="1"/>
    <xf numFmtId="0" fontId="54" fillId="0" borderId="0" xfId="0" applyFont="1" applyFill="1" applyBorder="1" applyAlignment="1">
      <alignment horizontal="center" vertical="center"/>
    </xf>
    <xf numFmtId="0" fontId="76" fillId="0" borderId="0" xfId="0" applyFont="1" applyBorder="1" applyAlignment="1">
      <alignment horizontal="center" vertical="center"/>
    </xf>
    <xf numFmtId="0" fontId="76" fillId="0" borderId="0" xfId="0" applyFont="1" applyBorder="1" applyAlignment="1">
      <alignment horizontal="center" vertical="center" wrapText="1"/>
    </xf>
    <xf numFmtId="0" fontId="49" fillId="0" borderId="0" xfId="0" applyFont="1" applyBorder="1" applyAlignment="1">
      <alignment horizontal="center" wrapText="1"/>
    </xf>
    <xf numFmtId="0" fontId="53" fillId="6" borderId="14" xfId="0" applyFont="1" applyFill="1" applyBorder="1" applyAlignment="1">
      <alignment horizontal="center"/>
    </xf>
    <xf numFmtId="0" fontId="77" fillId="0" borderId="23" xfId="0" applyFont="1" applyBorder="1"/>
    <xf numFmtId="0" fontId="52" fillId="0" borderId="23" xfId="0" applyFont="1" applyBorder="1"/>
    <xf numFmtId="0" fontId="38" fillId="0" borderId="23" xfId="0" applyFont="1" applyBorder="1"/>
    <xf numFmtId="0" fontId="77" fillId="0" borderId="23" xfId="0" applyFont="1" applyBorder="1" applyAlignment="1">
      <alignment vertical="center"/>
    </xf>
    <xf numFmtId="0" fontId="78" fillId="0" borderId="0" xfId="0" applyFont="1"/>
    <xf numFmtId="0" fontId="76" fillId="0" borderId="0" xfId="2" applyFont="1"/>
    <xf numFmtId="0" fontId="76" fillId="0" borderId="0" xfId="3" applyFont="1" applyFill="1" applyBorder="1" applyAlignment="1">
      <alignment horizontal="left" vertical="center"/>
    </xf>
    <xf numFmtId="0" fontId="76" fillId="0" borderId="0" xfId="0" applyFont="1" applyAlignment="1">
      <alignment vertical="center"/>
    </xf>
    <xf numFmtId="0" fontId="76" fillId="0" borderId="0" xfId="0" applyFont="1" applyBorder="1"/>
    <xf numFmtId="14" fontId="76" fillId="0" borderId="0" xfId="0" applyNumberFormat="1" applyFont="1" applyFill="1" applyBorder="1" applyAlignment="1">
      <alignment horizontal="center" vertical="center" wrapText="1"/>
    </xf>
    <xf numFmtId="0" fontId="76" fillId="0" borderId="0" xfId="3" applyFont="1"/>
    <xf numFmtId="0" fontId="79" fillId="0" borderId="0" xfId="2" applyFont="1"/>
    <xf numFmtId="0" fontId="80" fillId="0" borderId="0" xfId="0" applyFont="1"/>
    <xf numFmtId="0" fontId="29" fillId="0" borderId="0" xfId="0" applyFont="1" applyAlignment="1">
      <alignment vertical="center"/>
    </xf>
    <xf numFmtId="0" fontId="81" fillId="0" borderId="0" xfId="0" applyFont="1"/>
    <xf numFmtId="0" fontId="0" fillId="0" borderId="0" xfId="0" applyFill="1" applyAlignment="1">
      <alignment vertical="center"/>
    </xf>
    <xf numFmtId="167" fontId="38" fillId="0" borderId="0" xfId="0" applyNumberFormat="1" applyFont="1" applyAlignment="1">
      <alignment horizontal="left"/>
    </xf>
    <xf numFmtId="9" fontId="38" fillId="0" borderId="0" xfId="0" applyNumberFormat="1" applyFont="1" applyFill="1"/>
    <xf numFmtId="0" fontId="38" fillId="0" borderId="0" xfId="0" applyFont="1" applyFill="1" applyAlignment="1">
      <alignment horizontal="right"/>
    </xf>
    <xf numFmtId="167" fontId="38" fillId="0" borderId="0" xfId="0" applyNumberFormat="1" applyFont="1" applyFill="1"/>
    <xf numFmtId="0" fontId="82" fillId="0" borderId="0" xfId="0" applyFont="1"/>
    <xf numFmtId="0" fontId="83" fillId="0" borderId="0" xfId="0" applyFont="1"/>
    <xf numFmtId="0" fontId="84" fillId="0" borderId="0" xfId="0" applyFont="1"/>
    <xf numFmtId="0" fontId="0" fillId="0" borderId="0" xfId="0" applyFont="1" applyFill="1"/>
    <xf numFmtId="9" fontId="54" fillId="0" borderId="0" xfId="0" applyNumberFormat="1" applyFont="1" applyFill="1" applyBorder="1"/>
    <xf numFmtId="0" fontId="83" fillId="0" borderId="0" xfId="0" applyFont="1" applyFill="1"/>
    <xf numFmtId="0" fontId="76" fillId="0" borderId="0" xfId="0" applyFont="1" applyAlignment="1">
      <alignment vertical="center" wrapText="1"/>
    </xf>
    <xf numFmtId="0" fontId="54" fillId="0" borderId="0" xfId="0" applyFont="1" applyFill="1" applyBorder="1" applyAlignment="1">
      <alignment horizontal="right" vertical="center"/>
    </xf>
    <xf numFmtId="0" fontId="55" fillId="0" borderId="0" xfId="0" applyFont="1" applyFill="1" applyBorder="1" applyAlignment="1">
      <alignment vertical="center" wrapText="1"/>
    </xf>
    <xf numFmtId="0" fontId="86" fillId="0" borderId="0" xfId="0" applyFont="1"/>
    <xf numFmtId="0" fontId="12" fillId="0" borderId="0" xfId="0" applyFont="1" applyFill="1" applyAlignment="1">
      <alignment vertical="center"/>
    </xf>
    <xf numFmtId="0" fontId="12" fillId="0" borderId="0" xfId="0" applyFont="1" applyFill="1" applyAlignment="1">
      <alignment horizontal="right" vertical="center"/>
    </xf>
    <xf numFmtId="0" fontId="55" fillId="6" borderId="14" xfId="0" applyFont="1" applyFill="1" applyBorder="1" applyAlignment="1">
      <alignment horizontal="center"/>
    </xf>
    <xf numFmtId="0" fontId="0" fillId="0" borderId="0" xfId="0" applyFill="1" applyBorder="1"/>
    <xf numFmtId="0" fontId="0" fillId="0" borderId="14" xfId="0" applyBorder="1"/>
    <xf numFmtId="0" fontId="55" fillId="0" borderId="0" xfId="0" applyFont="1" applyFill="1" applyBorder="1" applyAlignment="1">
      <alignment horizontal="left" vertical="center"/>
    </xf>
    <xf numFmtId="0" fontId="0" fillId="0" borderId="0" xfId="0" applyFill="1" applyBorder="1" applyAlignment="1">
      <alignment vertical="center"/>
    </xf>
    <xf numFmtId="49" fontId="76" fillId="0" borderId="23" xfId="0" applyNumberFormat="1" applyFont="1" applyBorder="1"/>
    <xf numFmtId="49" fontId="76" fillId="0" borderId="0" xfId="0" applyNumberFormat="1" applyFont="1"/>
    <xf numFmtId="49" fontId="63" fillId="0" borderId="0" xfId="0" applyNumberFormat="1" applyFont="1"/>
    <xf numFmtId="49" fontId="67" fillId="0" borderId="0" xfId="0" applyNumberFormat="1" applyFont="1"/>
    <xf numFmtId="49" fontId="66" fillId="0" borderId="0" xfId="0" applyNumberFormat="1" applyFont="1"/>
    <xf numFmtId="0" fontId="0" fillId="0" borderId="0" xfId="0" applyAlignment="1"/>
    <xf numFmtId="0" fontId="0" fillId="0" borderId="0" xfId="0" applyAlignment="1"/>
    <xf numFmtId="0" fontId="87" fillId="0" borderId="0" xfId="0" applyFont="1"/>
    <xf numFmtId="0" fontId="88" fillId="0" borderId="0" xfId="0" applyFont="1" applyAlignment="1">
      <alignment horizontal="center"/>
    </xf>
    <xf numFmtId="0" fontId="89" fillId="0" borderId="0" xfId="0" applyFont="1"/>
    <xf numFmtId="0" fontId="55" fillId="0" borderId="0" xfId="0" applyFont="1" applyFill="1" applyBorder="1" applyAlignment="1">
      <alignment horizontal="right" vertical="center"/>
    </xf>
    <xf numFmtId="0" fontId="12" fillId="0" borderId="0" xfId="2" applyFont="1" applyAlignment="1">
      <alignment horizontal="right" vertical="center"/>
    </xf>
    <xf numFmtId="0" fontId="12" fillId="0" borderId="0" xfId="2" applyFont="1" applyAlignment="1">
      <alignment horizontal="right"/>
    </xf>
    <xf numFmtId="0" fontId="12" fillId="0" borderId="0" xfId="2" applyFont="1" applyAlignment="1">
      <alignment horizontal="left"/>
    </xf>
    <xf numFmtId="0" fontId="88" fillId="0" borderId="0" xfId="0" applyFont="1"/>
    <xf numFmtId="0" fontId="88" fillId="0" borderId="0" xfId="0" applyFont="1" applyAlignment="1">
      <alignment horizontal="left"/>
    </xf>
    <xf numFmtId="0" fontId="51" fillId="0" borderId="0" xfId="0" applyFont="1" applyAlignment="1">
      <alignment horizontal="left"/>
    </xf>
    <xf numFmtId="0" fontId="51" fillId="0" borderId="0" xfId="0" applyFont="1" applyAlignment="1"/>
    <xf numFmtId="0" fontId="88" fillId="0" borderId="0" xfId="0" applyFont="1" applyAlignment="1"/>
    <xf numFmtId="0" fontId="51" fillId="0" borderId="0" xfId="0" applyFont="1"/>
    <xf numFmtId="0" fontId="27" fillId="0" borderId="0" xfId="0" applyFont="1" applyBorder="1"/>
    <xf numFmtId="0" fontId="27" fillId="0" borderId="0" xfId="0" applyFont="1" applyBorder="1" applyAlignment="1">
      <alignment horizontal="center"/>
    </xf>
    <xf numFmtId="0" fontId="27" fillId="0" borderId="0" xfId="0" applyFont="1" applyBorder="1" applyAlignment="1">
      <alignment horizontal="left"/>
    </xf>
    <xf numFmtId="0" fontId="73" fillId="0" borderId="0" xfId="0" applyFont="1"/>
    <xf numFmtId="0" fontId="90" fillId="0" borderId="0" xfId="0" applyFont="1"/>
    <xf numFmtId="49" fontId="91" fillId="0" borderId="0" xfId="0" applyNumberFormat="1" applyFont="1"/>
    <xf numFmtId="0" fontId="71" fillId="0" borderId="0" xfId="0" applyFont="1" applyAlignment="1">
      <alignment vertical="center"/>
    </xf>
    <xf numFmtId="0" fontId="41" fillId="0" borderId="0" xfId="0" applyFont="1" applyFill="1" applyBorder="1" applyAlignment="1">
      <alignment vertical="center"/>
    </xf>
    <xf numFmtId="0" fontId="55" fillId="6" borderId="22" xfId="0" applyFont="1" applyFill="1" applyBorder="1" applyAlignment="1">
      <alignment horizontal="right" vertical="center" wrapText="1"/>
    </xf>
    <xf numFmtId="0" fontId="27" fillId="0" borderId="0" xfId="0" applyFont="1" applyAlignment="1">
      <alignment horizontal="left"/>
    </xf>
    <xf numFmtId="0" fontId="92" fillId="0" borderId="0" xfId="0" applyFont="1"/>
    <xf numFmtId="0" fontId="30" fillId="0" borderId="0" xfId="0" applyFont="1" applyAlignment="1"/>
    <xf numFmtId="0" fontId="93" fillId="0" borderId="0" xfId="0" applyFont="1"/>
    <xf numFmtId="0" fontId="94" fillId="0" borderId="0" xfId="6" applyFont="1"/>
    <xf numFmtId="0" fontId="94" fillId="0" borderId="0" xfId="6" applyFont="1" applyBorder="1" applyAlignment="1">
      <alignment horizontal="center" vertical="center"/>
    </xf>
    <xf numFmtId="0" fontId="94" fillId="0" borderId="0" xfId="6" applyFont="1" applyBorder="1" applyAlignment="1">
      <alignment horizontal="center" vertical="center" wrapText="1"/>
    </xf>
    <xf numFmtId="0" fontId="94" fillId="0" borderId="0" xfId="6" applyFont="1" applyBorder="1"/>
    <xf numFmtId="9" fontId="23" fillId="0" borderId="0" xfId="2" applyNumberFormat="1" applyFont="1" applyAlignment="1">
      <alignment horizontal="left"/>
    </xf>
    <xf numFmtId="9" fontId="40" fillId="0" borderId="0" xfId="0" applyNumberFormat="1" applyFont="1" applyAlignment="1">
      <alignment horizontal="left"/>
    </xf>
    <xf numFmtId="0" fontId="67" fillId="0" borderId="0" xfId="0" applyFont="1" applyBorder="1"/>
    <xf numFmtId="0" fontId="8" fillId="0" borderId="0" xfId="0" applyFont="1" applyAlignment="1">
      <alignment vertical="center"/>
    </xf>
    <xf numFmtId="0" fontId="67" fillId="0" borderId="0" xfId="0" applyFont="1" applyBorder="1" applyAlignment="1"/>
    <xf numFmtId="0" fontId="95" fillId="0" borderId="0" xfId="0" applyFont="1"/>
    <xf numFmtId="0" fontId="31" fillId="0" borderId="0" xfId="0" applyFont="1"/>
    <xf numFmtId="166" fontId="95" fillId="0" borderId="0" xfId="0" applyNumberFormat="1" applyFont="1"/>
    <xf numFmtId="0" fontId="47" fillId="0" borderId="0" xfId="2" applyFont="1" applyBorder="1" applyAlignment="1">
      <alignment vertical="center"/>
    </xf>
    <xf numFmtId="0" fontId="96" fillId="0" borderId="0" xfId="0" applyFont="1" applyBorder="1"/>
    <xf numFmtId="0" fontId="96" fillId="0" borderId="0" xfId="0" applyFont="1" applyBorder="1" applyAlignment="1">
      <alignment horizontal="left"/>
    </xf>
    <xf numFmtId="0" fontId="53" fillId="0" borderId="0" xfId="2" applyFont="1" applyBorder="1" applyAlignment="1">
      <alignment vertical="center"/>
    </xf>
    <xf numFmtId="0" fontId="86" fillId="0" borderId="0" xfId="0" applyFont="1" applyAlignment="1">
      <alignment horizontal="left"/>
    </xf>
    <xf numFmtId="0" fontId="86" fillId="0" borderId="0" xfId="0" applyFont="1" applyBorder="1"/>
    <xf numFmtId="0" fontId="86" fillId="0" borderId="0" xfId="0" applyFont="1" applyBorder="1" applyAlignment="1">
      <alignment horizontal="left"/>
    </xf>
    <xf numFmtId="0" fontId="12" fillId="0" borderId="0" xfId="2" applyFont="1" applyBorder="1" applyAlignment="1">
      <alignment vertical="center"/>
    </xf>
    <xf numFmtId="9" fontId="0" fillId="0" borderId="0" xfId="0" applyNumberFormat="1" applyBorder="1"/>
    <xf numFmtId="1" fontId="19" fillId="0" borderId="0" xfId="3" applyNumberFormat="1" applyFont="1"/>
    <xf numFmtId="1" fontId="61" fillId="0" borderId="0" xfId="0" applyNumberFormat="1" applyFont="1" applyFill="1" applyBorder="1" applyAlignment="1">
      <alignment horizontal="center"/>
    </xf>
    <xf numFmtId="6" fontId="38" fillId="0" borderId="0" xfId="0" applyNumberFormat="1" applyFont="1"/>
    <xf numFmtId="9" fontId="55" fillId="0" borderId="0" xfId="0" applyNumberFormat="1" applyFont="1" applyFill="1" applyBorder="1" applyAlignment="1">
      <alignment horizontal="center"/>
    </xf>
    <xf numFmtId="0" fontId="55" fillId="6" borderId="14" xfId="0" applyFont="1" applyFill="1" applyBorder="1"/>
    <xf numFmtId="1" fontId="32" fillId="0" borderId="0" xfId="0" applyNumberFormat="1" applyFont="1" applyFill="1" applyBorder="1" applyAlignment="1">
      <alignment horizontal="center"/>
    </xf>
    <xf numFmtId="0" fontId="0" fillId="0" borderId="0" xfId="0" applyFont="1" applyFill="1" applyBorder="1"/>
    <xf numFmtId="0" fontId="26" fillId="7" borderId="0" xfId="2" applyFont="1" applyFill="1" applyBorder="1"/>
    <xf numFmtId="3" fontId="38" fillId="0" borderId="0" xfId="0" applyNumberFormat="1" applyFont="1"/>
    <xf numFmtId="3" fontId="0" fillId="0" borderId="0" xfId="0" applyNumberFormat="1"/>
    <xf numFmtId="49" fontId="55" fillId="0" borderId="0" xfId="0" applyNumberFormat="1" applyFont="1" applyFill="1" applyBorder="1" applyAlignment="1">
      <alignment horizontal="left" wrapText="1"/>
    </xf>
    <xf numFmtId="0" fontId="55" fillId="0" borderId="0" xfId="0" applyFont="1" applyFill="1" applyBorder="1" applyAlignment="1">
      <alignment horizontal="left" wrapText="1"/>
    </xf>
    <xf numFmtId="0" fontId="57" fillId="0" borderId="0" xfId="0" applyFont="1" applyFill="1" applyBorder="1" applyAlignment="1">
      <alignment horizontal="left" wrapText="1"/>
    </xf>
    <xf numFmtId="0" fontId="57" fillId="0" borderId="0" xfId="0" applyFont="1" applyFill="1" applyBorder="1" applyAlignment="1">
      <alignment horizontal="left" vertical="center" wrapText="1"/>
    </xf>
    <xf numFmtId="0" fontId="55" fillId="0" borderId="0" xfId="0" applyFont="1" applyFill="1" applyBorder="1" applyAlignment="1">
      <alignment horizontal="center"/>
    </xf>
    <xf numFmtId="0" fontId="55" fillId="6" borderId="14" xfId="0" applyFont="1" applyFill="1" applyBorder="1" applyAlignment="1">
      <alignment horizontal="center" vertical="center" wrapText="1"/>
    </xf>
    <xf numFmtId="0" fontId="85" fillId="0" borderId="26" xfId="0" applyFont="1" applyFill="1" applyBorder="1" applyAlignment="1">
      <alignment vertical="center"/>
    </xf>
    <xf numFmtId="0" fontId="85" fillId="0" borderId="27" xfId="0" applyFont="1" applyFill="1" applyBorder="1" applyAlignment="1">
      <alignment vertical="center"/>
    </xf>
    <xf numFmtId="0" fontId="85" fillId="0" borderId="28" xfId="0" applyFont="1" applyFill="1" applyBorder="1" applyAlignment="1">
      <alignment vertical="center"/>
    </xf>
    <xf numFmtId="0" fontId="54" fillId="0" borderId="26" xfId="0" applyFont="1" applyFill="1" applyBorder="1" applyAlignment="1">
      <alignment vertical="center"/>
    </xf>
    <xf numFmtId="0" fontId="54" fillId="0" borderId="27" xfId="0" applyFont="1" applyFill="1" applyBorder="1" applyAlignment="1">
      <alignment vertical="center"/>
    </xf>
    <xf numFmtId="0" fontId="54" fillId="0" borderId="28" xfId="0" applyFont="1" applyFill="1" applyBorder="1" applyAlignment="1">
      <alignment vertical="center"/>
    </xf>
    <xf numFmtId="0" fontId="21" fillId="0" borderId="0" xfId="0" applyFont="1"/>
    <xf numFmtId="0" fontId="41" fillId="6" borderId="0" xfId="0" applyFont="1" applyFill="1" applyBorder="1"/>
    <xf numFmtId="0" fontId="41" fillId="6" borderId="14" xfId="0" applyFont="1" applyFill="1" applyBorder="1"/>
    <xf numFmtId="0" fontId="21" fillId="0" borderId="0" xfId="0" applyFont="1" applyAlignment="1">
      <alignment horizontal="right"/>
    </xf>
    <xf numFmtId="0" fontId="21" fillId="0" borderId="0" xfId="0" applyFont="1" applyAlignment="1">
      <alignment horizontal="left"/>
    </xf>
    <xf numFmtId="1" fontId="38" fillId="0" borderId="0" xfId="0" applyNumberFormat="1" applyFont="1" applyAlignment="1">
      <alignment horizontal="left"/>
    </xf>
    <xf numFmtId="0" fontId="28" fillId="0" borderId="0" xfId="0" applyFont="1" applyFill="1" applyAlignment="1">
      <alignment vertical="center"/>
    </xf>
    <xf numFmtId="0" fontId="52" fillId="0" borderId="0" xfId="0" applyFont="1" applyAlignment="1">
      <alignment horizontal="left"/>
    </xf>
    <xf numFmtId="0" fontId="99" fillId="0" borderId="0" xfId="0" applyFont="1"/>
    <xf numFmtId="3" fontId="99" fillId="0" borderId="0" xfId="0" applyNumberFormat="1" applyFont="1"/>
    <xf numFmtId="9" fontId="26" fillId="0" borderId="0" xfId="7" applyNumberFormat="1" applyFont="1" applyFill="1" applyBorder="1" applyAlignment="1">
      <alignment horizontal="center" vertical="center" wrapText="1"/>
    </xf>
    <xf numFmtId="0" fontId="86" fillId="0" borderId="0" xfId="0" applyFont="1" applyAlignment="1">
      <alignment horizontal="right"/>
    </xf>
    <xf numFmtId="9" fontId="86" fillId="0" borderId="0" xfId="0" applyNumberFormat="1" applyFont="1" applyAlignment="1">
      <alignment horizontal="left"/>
    </xf>
    <xf numFmtId="0" fontId="27" fillId="0" borderId="0" xfId="0" applyFont="1" applyAlignment="1"/>
    <xf numFmtId="1" fontId="55" fillId="0" borderId="5" xfId="3" applyNumberFormat="1" applyFont="1" applyBorder="1" applyAlignment="1">
      <alignment horizontal="center" vertical="center"/>
    </xf>
    <xf numFmtId="1" fontId="55" fillId="0" borderId="0" xfId="3" applyNumberFormat="1" applyFont="1" applyBorder="1" applyAlignment="1">
      <alignment horizontal="center" vertical="center"/>
    </xf>
    <xf numFmtId="1" fontId="55" fillId="0" borderId="6" xfId="3" applyNumberFormat="1" applyFont="1" applyBorder="1" applyAlignment="1">
      <alignment horizontal="center" vertical="center"/>
    </xf>
    <xf numFmtId="0" fontId="69" fillId="2" borderId="0" xfId="3" applyFont="1" applyFill="1" applyBorder="1" applyAlignment="1">
      <alignment horizontal="right" vertical="center"/>
    </xf>
    <xf numFmtId="0" fontId="100" fillId="0" borderId="0" xfId="0" applyFont="1" applyFill="1" applyAlignment="1">
      <alignment horizontal="center" vertical="center" readingOrder="1"/>
    </xf>
    <xf numFmtId="0" fontId="69" fillId="0" borderId="0" xfId="3" applyFont="1" applyFill="1" applyBorder="1" applyAlignment="1">
      <alignment horizontal="right" vertical="center"/>
    </xf>
    <xf numFmtId="0" fontId="12" fillId="0" borderId="0" xfId="0" applyFont="1" applyAlignment="1"/>
    <xf numFmtId="0" fontId="76" fillId="0" borderId="0" xfId="0" applyFont="1" applyBorder="1" applyAlignment="1"/>
    <xf numFmtId="0" fontId="0" fillId="0" borderId="0" xfId="0" applyAlignment="1">
      <alignment horizontal="left" vertical="center" indent="1"/>
    </xf>
    <xf numFmtId="0" fontId="102" fillId="0" borderId="0" xfId="0" applyFont="1"/>
    <xf numFmtId="0" fontId="69" fillId="0" borderId="0" xfId="0" applyFont="1" applyAlignment="1">
      <alignment vertical="center"/>
    </xf>
    <xf numFmtId="0" fontId="33" fillId="0" borderId="0" xfId="0" applyFont="1" applyAlignment="1">
      <alignment vertical="center"/>
    </xf>
    <xf numFmtId="0" fontId="103" fillId="0" borderId="0" xfId="0" applyFont="1" applyAlignment="1">
      <alignment vertical="center"/>
    </xf>
    <xf numFmtId="0" fontId="54" fillId="0" borderId="0" xfId="0" applyFont="1" applyBorder="1" applyAlignment="1">
      <alignment wrapText="1"/>
    </xf>
    <xf numFmtId="0" fontId="40" fillId="0" borderId="0" xfId="0" applyFont="1" applyAlignment="1">
      <alignment horizontal="right"/>
    </xf>
    <xf numFmtId="0" fontId="100" fillId="0" borderId="0" xfId="0" applyFont="1" applyBorder="1" applyAlignment="1">
      <alignment wrapText="1"/>
    </xf>
    <xf numFmtId="165" fontId="0" fillId="0" borderId="0" xfId="0" applyNumberFormat="1"/>
    <xf numFmtId="0" fontId="74" fillId="0" borderId="0" xfId="0" applyFont="1" applyAlignment="1">
      <alignment vertical="center"/>
    </xf>
    <xf numFmtId="0" fontId="40" fillId="0" borderId="0" xfId="0" applyFont="1" applyFill="1" applyBorder="1" applyAlignment="1">
      <alignment horizontal="center" vertical="center"/>
    </xf>
    <xf numFmtId="0" fontId="55" fillId="0" borderId="15" xfId="0" applyFont="1" applyFill="1" applyBorder="1" applyAlignment="1">
      <alignment horizontal="right" vertical="center"/>
    </xf>
    <xf numFmtId="0" fontId="53" fillId="0" borderId="0" xfId="0" applyFont="1" applyFill="1" applyBorder="1" applyAlignment="1">
      <alignment vertical="center"/>
    </xf>
    <xf numFmtId="0" fontId="76" fillId="0" borderId="0" xfId="0" applyFont="1" applyFill="1" applyBorder="1" applyAlignment="1">
      <alignment vertical="center"/>
    </xf>
    <xf numFmtId="0" fontId="76" fillId="0" borderId="0" xfId="0" applyFont="1" applyBorder="1" applyAlignment="1">
      <alignment vertical="center"/>
    </xf>
    <xf numFmtId="0" fontId="76" fillId="0" borderId="0" xfId="0" applyFont="1" applyFill="1" applyAlignment="1">
      <alignment vertical="center"/>
    </xf>
    <xf numFmtId="0" fontId="15" fillId="3" borderId="30" xfId="3" applyFont="1" applyFill="1" applyBorder="1" applyAlignment="1">
      <alignment horizontal="center" vertical="center"/>
    </xf>
    <xf numFmtId="0" fontId="61" fillId="0" borderId="0" xfId="0" applyFont="1" applyFill="1" applyBorder="1" applyAlignment="1">
      <alignment horizontal="left" vertical="center" wrapText="1"/>
    </xf>
    <xf numFmtId="0" fontId="55" fillId="6" borderId="14" xfId="0" applyFont="1" applyFill="1" applyBorder="1" applyAlignment="1">
      <alignment vertical="center"/>
    </xf>
    <xf numFmtId="0" fontId="48" fillId="3" borderId="14" xfId="0" applyFont="1" applyFill="1" applyBorder="1" applyAlignment="1">
      <alignment horizontal="center" vertical="center" wrapText="1"/>
    </xf>
    <xf numFmtId="0" fontId="38" fillId="0" borderId="0" xfId="0" applyFont="1" applyBorder="1" applyAlignment="1">
      <alignment vertical="center"/>
    </xf>
    <xf numFmtId="0" fontId="63" fillId="0" borderId="0" xfId="0" applyFont="1" applyAlignment="1">
      <alignment vertical="center"/>
    </xf>
    <xf numFmtId="9" fontId="19" fillId="0" borderId="0" xfId="3" applyNumberFormat="1" applyFont="1" applyFill="1" applyBorder="1"/>
    <xf numFmtId="0" fontId="39" fillId="0" borderId="0" xfId="0" applyFont="1" applyFill="1" applyBorder="1" applyAlignment="1">
      <alignment horizontal="left"/>
    </xf>
    <xf numFmtId="0" fontId="39" fillId="0" borderId="0" xfId="0" applyNumberFormat="1" applyFont="1" applyFill="1" applyBorder="1"/>
    <xf numFmtId="9" fontId="59" fillId="4" borderId="22" xfId="0" applyNumberFormat="1" applyFont="1" applyFill="1" applyBorder="1" applyAlignment="1">
      <alignment horizontal="left" vertical="center"/>
    </xf>
    <xf numFmtId="10" fontId="0" fillId="0" borderId="0" xfId="0" applyNumberFormat="1"/>
    <xf numFmtId="0" fontId="105" fillId="0" borderId="0" xfId="0" applyFont="1"/>
    <xf numFmtId="9" fontId="55" fillId="6" borderId="14" xfId="0" applyNumberFormat="1" applyFont="1" applyFill="1" applyBorder="1" applyAlignment="1">
      <alignment horizontal="center"/>
    </xf>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9" fontId="0" fillId="0" borderId="34" xfId="0" applyNumberFormat="1" applyBorder="1"/>
    <xf numFmtId="0" fontId="0" fillId="0" borderId="0" xfId="0" applyBorder="1" applyAlignment="1">
      <alignment horizontal="right"/>
    </xf>
    <xf numFmtId="9" fontId="0" fillId="0" borderId="33" xfId="0" applyNumberFormat="1" applyBorder="1"/>
    <xf numFmtId="0" fontId="63" fillId="0" borderId="0" xfId="0" applyFont="1" applyAlignment="1">
      <alignment wrapText="1"/>
    </xf>
    <xf numFmtId="0" fontId="106" fillId="0" borderId="0" xfId="0" applyFont="1"/>
    <xf numFmtId="0" fontId="107" fillId="0" borderId="0" xfId="0" applyFont="1"/>
    <xf numFmtId="0" fontId="0" fillId="0" borderId="0" xfId="0" applyNumberFormat="1"/>
    <xf numFmtId="0" fontId="108" fillId="0" borderId="0" xfId="0" applyFont="1"/>
    <xf numFmtId="0" fontId="108" fillId="0" borderId="37" xfId="0" applyFont="1" applyBorder="1" applyAlignment="1">
      <alignment vertical="center" wrapText="1"/>
    </xf>
    <xf numFmtId="0" fontId="76" fillId="0" borderId="0" xfId="0" applyFont="1" applyFill="1" applyBorder="1" applyAlignment="1">
      <alignment horizontal="left" vertical="center" wrapText="1"/>
    </xf>
    <xf numFmtId="0" fontId="76" fillId="0" borderId="0" xfId="0" applyFont="1" applyFill="1" applyBorder="1" applyAlignment="1">
      <alignment vertical="center" wrapText="1"/>
    </xf>
    <xf numFmtId="0" fontId="101" fillId="2" borderId="21" xfId="0" applyFont="1" applyFill="1" applyBorder="1" applyAlignment="1">
      <alignment horizontal="center" vertical="center"/>
    </xf>
    <xf numFmtId="0" fontId="55" fillId="6" borderId="14" xfId="0" applyNumberFormat="1" applyFont="1" applyFill="1" applyBorder="1" applyAlignment="1">
      <alignment horizontal="center" vertical="center"/>
    </xf>
    <xf numFmtId="6" fontId="109" fillId="0" borderId="0" xfId="0" applyNumberFormat="1" applyFont="1" applyAlignment="1">
      <alignment horizontal="right" vertical="center"/>
    </xf>
    <xf numFmtId="0" fontId="59" fillId="4" borderId="0" xfId="0" applyFont="1" applyFill="1" applyAlignment="1">
      <alignment horizontal="center" vertical="center"/>
    </xf>
    <xf numFmtId="0" fontId="110" fillId="0" borderId="0" xfId="0" applyFont="1"/>
    <xf numFmtId="0" fontId="59" fillId="4" borderId="14" xfId="0" applyFont="1" applyFill="1" applyBorder="1" applyAlignment="1">
      <alignment horizontal="center" vertical="center" wrapText="1"/>
    </xf>
    <xf numFmtId="0" fontId="111" fillId="0" borderId="0" xfId="0" applyFont="1"/>
    <xf numFmtId="0" fontId="44" fillId="4" borderId="0" xfId="0" applyFont="1" applyFill="1" applyAlignment="1">
      <alignment vertical="center"/>
    </xf>
    <xf numFmtId="0" fontId="44" fillId="4" borderId="38" xfId="0" applyNumberFormat="1" applyFont="1" applyFill="1" applyBorder="1" applyAlignment="1">
      <alignment horizontal="center" vertical="center"/>
    </xf>
    <xf numFmtId="0" fontId="88" fillId="0" borderId="0" xfId="0" applyFont="1" applyAlignment="1">
      <alignment vertical="center"/>
    </xf>
    <xf numFmtId="0" fontId="88" fillId="0" borderId="0" xfId="0" applyFont="1" applyAlignment="1">
      <alignment vertical="center" wrapText="1"/>
    </xf>
    <xf numFmtId="164" fontId="40" fillId="0" borderId="0" xfId="0" applyNumberFormat="1" applyFont="1"/>
    <xf numFmtId="0" fontId="38" fillId="0" borderId="0" xfId="0" applyFont="1" applyAlignment="1">
      <alignment horizontal="left"/>
    </xf>
    <xf numFmtId="0" fontId="112" fillId="0" borderId="0" xfId="0" applyFont="1" applyAlignment="1">
      <alignment vertical="center"/>
    </xf>
    <xf numFmtId="0" fontId="59" fillId="4" borderId="14" xfId="0" applyFont="1" applyFill="1" applyBorder="1" applyAlignment="1">
      <alignment horizontal="center" vertical="center"/>
    </xf>
    <xf numFmtId="0" fontId="38" fillId="0" borderId="0" xfId="0" applyFont="1" applyAlignment="1">
      <alignment vertical="center"/>
    </xf>
    <xf numFmtId="0" fontId="0" fillId="0" borderId="0" xfId="0" applyFont="1" applyAlignment="1">
      <alignment vertical="center"/>
    </xf>
    <xf numFmtId="0" fontId="59" fillId="4" borderId="14" xfId="0" applyFont="1" applyFill="1" applyBorder="1" applyAlignment="1">
      <alignment horizontal="right" vertical="center"/>
    </xf>
    <xf numFmtId="0" fontId="113" fillId="4" borderId="14" xfId="0" applyFont="1" applyFill="1" applyBorder="1" applyAlignment="1">
      <alignment horizontal="right" vertical="center"/>
    </xf>
    <xf numFmtId="0" fontId="113" fillId="4" borderId="14" xfId="0" applyFont="1" applyFill="1" applyBorder="1" applyAlignment="1">
      <alignment horizontal="right" vertical="center" wrapText="1"/>
    </xf>
    <xf numFmtId="0" fontId="0" fillId="0" borderId="0" xfId="0" applyAlignment="1">
      <alignment horizontal="center"/>
    </xf>
    <xf numFmtId="0" fontId="101" fillId="2" borderId="38" xfId="0" applyFont="1" applyFill="1" applyBorder="1" applyAlignment="1">
      <alignment vertical="center" wrapText="1"/>
    </xf>
    <xf numFmtId="0" fontId="103" fillId="0" borderId="0" xfId="0" applyFont="1"/>
    <xf numFmtId="0" fontId="69" fillId="0" borderId="14" xfId="0" applyFont="1" applyFill="1" applyBorder="1" applyAlignment="1">
      <alignment horizontal="left" vertical="top" wrapText="1"/>
    </xf>
    <xf numFmtId="0" fontId="114" fillId="3" borderId="39" xfId="0" applyFont="1" applyFill="1" applyBorder="1" applyAlignment="1">
      <alignment horizontal="center" vertical="center" wrapText="1"/>
    </xf>
    <xf numFmtId="0" fontId="114" fillId="3" borderId="40" xfId="0" applyFont="1" applyFill="1" applyBorder="1" applyAlignment="1">
      <alignment horizontal="center" vertical="center" wrapText="1"/>
    </xf>
    <xf numFmtId="0" fontId="114" fillId="3" borderId="41" xfId="0" applyFont="1" applyFill="1" applyBorder="1" applyAlignment="1">
      <alignment horizontal="center" vertical="center" wrapText="1"/>
    </xf>
    <xf numFmtId="0" fontId="69" fillId="3" borderId="14" xfId="0" applyFont="1" applyFill="1" applyBorder="1" applyAlignment="1">
      <alignment horizontal="left" vertical="center" wrapText="1"/>
    </xf>
    <xf numFmtId="0" fontId="100" fillId="3" borderId="14" xfId="0" applyFont="1" applyFill="1" applyBorder="1" applyAlignment="1">
      <alignment horizontal="left" vertical="center" wrapText="1"/>
    </xf>
    <xf numFmtId="0" fontId="115" fillId="0" borderId="0" xfId="0" applyFont="1"/>
    <xf numFmtId="167" fontId="115" fillId="0" borderId="0" xfId="0" applyNumberFormat="1" applyFont="1"/>
    <xf numFmtId="0" fontId="19" fillId="0" borderId="0" xfId="0" applyFont="1"/>
    <xf numFmtId="0" fontId="105" fillId="0" borderId="0" xfId="0" applyFont="1" applyAlignment="1">
      <alignment vertical="center"/>
    </xf>
    <xf numFmtId="0" fontId="50" fillId="4" borderId="0" xfId="0" applyFont="1" applyFill="1" applyAlignment="1">
      <alignment vertical="center"/>
    </xf>
    <xf numFmtId="0" fontId="114" fillId="4" borderId="44" xfId="0" applyFont="1" applyFill="1" applyBorder="1" applyAlignment="1">
      <alignment vertical="center"/>
    </xf>
    <xf numFmtId="0" fontId="27" fillId="0" borderId="0" xfId="2" applyFont="1"/>
    <xf numFmtId="0" fontId="0" fillId="0" borderId="2" xfId="0" applyBorder="1"/>
    <xf numFmtId="0" fontId="49" fillId="0" borderId="2" xfId="0" applyFont="1" applyBorder="1"/>
    <xf numFmtId="0" fontId="23" fillId="0" borderId="0" xfId="2" applyFont="1" applyFill="1" applyBorder="1"/>
    <xf numFmtId="0" fontId="100" fillId="3" borderId="45" xfId="0" applyFont="1" applyFill="1" applyBorder="1" applyAlignment="1">
      <alignment horizontal="center" vertical="center" wrapText="1"/>
    </xf>
    <xf numFmtId="0" fontId="100" fillId="3" borderId="45" xfId="0" applyFont="1" applyFill="1" applyBorder="1" applyAlignment="1">
      <alignment horizontal="left" vertical="center" wrapText="1"/>
    </xf>
    <xf numFmtId="0" fontId="100" fillId="3" borderId="45" xfId="0" applyFont="1" applyFill="1" applyBorder="1" applyAlignment="1">
      <alignment horizontal="right" vertical="center" wrapText="1"/>
    </xf>
    <xf numFmtId="0" fontId="40" fillId="0" borderId="45" xfId="0" applyFont="1" applyBorder="1"/>
    <xf numFmtId="6" fontId="0" fillId="0" borderId="0" xfId="0" applyNumberFormat="1"/>
    <xf numFmtId="0" fontId="54" fillId="0" borderId="0" xfId="0" applyFont="1" applyBorder="1" applyAlignment="1">
      <alignment horizontal="center" wrapText="1"/>
    </xf>
    <xf numFmtId="49" fontId="81" fillId="0" borderId="23" xfId="0" applyNumberFormat="1" applyFont="1" applyBorder="1"/>
    <xf numFmtId="49" fontId="71" fillId="0" borderId="0" xfId="0" applyNumberFormat="1" applyFont="1"/>
    <xf numFmtId="49" fontId="71" fillId="0" borderId="0" xfId="0" applyNumberFormat="1" applyFont="1" applyAlignment="1">
      <alignment horizontal="left"/>
    </xf>
    <xf numFmtId="49" fontId="116" fillId="0" borderId="0" xfId="0" applyNumberFormat="1" applyFont="1"/>
    <xf numFmtId="0" fontId="55" fillId="2" borderId="46" xfId="3" applyFont="1" applyFill="1" applyBorder="1" applyAlignment="1">
      <alignment horizontal="center" vertical="center"/>
    </xf>
    <xf numFmtId="0" fontId="55" fillId="2" borderId="47" xfId="3" applyFont="1" applyFill="1" applyBorder="1" applyAlignment="1">
      <alignment horizontal="center" vertical="center"/>
    </xf>
    <xf numFmtId="0" fontId="55" fillId="2" borderId="48" xfId="3" applyFont="1" applyFill="1" applyBorder="1" applyAlignment="1">
      <alignment horizontal="center" vertical="center"/>
    </xf>
    <xf numFmtId="0" fontId="38" fillId="0" borderId="0" xfId="0" applyFont="1" applyAlignment="1">
      <alignment horizontal="left"/>
    </xf>
    <xf numFmtId="0" fontId="98" fillId="0" borderId="0" xfId="3" applyFont="1" applyFill="1" applyBorder="1" applyAlignment="1">
      <alignment horizontal="right" vertical="center"/>
    </xf>
    <xf numFmtId="0" fontId="0" fillId="0" borderId="22" xfId="0" applyBorder="1" applyAlignment="1">
      <alignment vertical="center"/>
    </xf>
    <xf numFmtId="0" fontId="53" fillId="6" borderId="22" xfId="0" applyFont="1" applyFill="1" applyBorder="1" applyAlignment="1">
      <alignment horizontal="center" vertical="center"/>
    </xf>
    <xf numFmtId="0" fontId="38" fillId="0" borderId="0" xfId="0" applyFont="1" applyAlignment="1">
      <alignment horizontal="left"/>
    </xf>
    <xf numFmtId="0" fontId="78" fillId="4" borderId="22" xfId="0" applyFont="1" applyFill="1" applyBorder="1" applyAlignment="1">
      <alignment vertical="center"/>
    </xf>
    <xf numFmtId="0" fontId="87" fillId="0" borderId="0" xfId="0" applyFont="1" applyAlignment="1">
      <alignment horizontal="right"/>
    </xf>
    <xf numFmtId="0" fontId="87" fillId="0" borderId="0" xfId="0" applyFont="1" applyAlignment="1">
      <alignment horizontal="right" vertical="center"/>
    </xf>
    <xf numFmtId="0" fontId="87" fillId="0" borderId="0" xfId="0" applyFont="1" applyAlignment="1">
      <alignment vertical="center"/>
    </xf>
    <xf numFmtId="0" fontId="89" fillId="0" borderId="0" xfId="0" applyFont="1" applyAlignment="1">
      <alignment vertical="center"/>
    </xf>
    <xf numFmtId="0" fontId="54" fillId="4" borderId="22" xfId="0" applyNumberFormat="1" applyFont="1" applyFill="1" applyBorder="1" applyAlignment="1">
      <alignment horizontal="right" vertical="center"/>
    </xf>
    <xf numFmtId="0" fontId="54" fillId="3" borderId="30" xfId="3" applyFont="1" applyFill="1" applyBorder="1" applyAlignment="1">
      <alignment horizontal="center" vertical="center"/>
    </xf>
    <xf numFmtId="0" fontId="55" fillId="0" borderId="50" xfId="3" applyFont="1" applyBorder="1" applyAlignment="1">
      <alignment horizontal="center" vertical="center"/>
    </xf>
    <xf numFmtId="0" fontId="55" fillId="2" borderId="50" xfId="3" applyFont="1" applyFill="1" applyBorder="1" applyAlignment="1">
      <alignment horizontal="center" vertical="center"/>
    </xf>
    <xf numFmtId="6" fontId="87" fillId="0" borderId="0" xfId="0" applyNumberFormat="1" applyFont="1" applyFill="1" applyBorder="1" applyAlignment="1">
      <alignment vertical="center"/>
    </xf>
    <xf numFmtId="9" fontId="87" fillId="0" borderId="0" xfId="0" applyNumberFormat="1" applyFont="1" applyAlignment="1">
      <alignment horizontal="left"/>
    </xf>
    <xf numFmtId="0" fontId="55" fillId="6" borderId="14" xfId="0" applyFont="1" applyFill="1" applyBorder="1" applyAlignment="1">
      <alignment horizontal="center" vertical="center"/>
    </xf>
    <xf numFmtId="0" fontId="87" fillId="6" borderId="0" xfId="2" applyFont="1" applyFill="1" applyBorder="1" applyAlignment="1">
      <alignment horizontal="center"/>
    </xf>
    <xf numFmtId="0" fontId="87" fillId="0" borderId="0" xfId="2" applyFont="1" applyFill="1" applyBorder="1" applyAlignment="1">
      <alignment horizontal="center"/>
    </xf>
    <xf numFmtId="0" fontId="85" fillId="0" borderId="0" xfId="2" applyFont="1" applyFill="1" applyBorder="1" applyAlignment="1">
      <alignment horizontal="center"/>
    </xf>
    <xf numFmtId="0" fontId="87" fillId="0" borderId="0" xfId="2" applyFont="1" applyBorder="1" applyAlignment="1">
      <alignment horizontal="center"/>
    </xf>
    <xf numFmtId="0" fontId="119" fillId="0" borderId="0" xfId="0" applyFont="1"/>
    <xf numFmtId="9" fontId="36" fillId="0" borderId="0" xfId="0" applyNumberFormat="1" applyFont="1" applyAlignment="1">
      <alignment horizontal="left"/>
    </xf>
    <xf numFmtId="0" fontId="51" fillId="0" borderId="0" xfId="0" applyFont="1" applyFill="1" applyBorder="1" applyAlignment="1">
      <alignment horizontal="center" vertical="center" wrapText="1"/>
    </xf>
    <xf numFmtId="0" fontId="61" fillId="0" borderId="49" xfId="0" applyFont="1" applyFill="1" applyBorder="1" applyAlignment="1">
      <alignment horizontal="center" vertical="center" wrapText="1"/>
    </xf>
    <xf numFmtId="0" fontId="38" fillId="0" borderId="0" xfId="0" applyFont="1" applyAlignment="1">
      <alignment horizontal="left"/>
    </xf>
    <xf numFmtId="9" fontId="65" fillId="0" borderId="14" xfId="0" applyNumberFormat="1" applyFont="1" applyFill="1" applyBorder="1" applyAlignment="1">
      <alignment horizontal="center" vertical="center"/>
    </xf>
    <xf numFmtId="3" fontId="55" fillId="6" borderId="14" xfId="0" applyNumberFormat="1" applyFont="1" applyFill="1" applyBorder="1" applyAlignment="1">
      <alignment horizontal="center" vertical="center"/>
    </xf>
    <xf numFmtId="3" fontId="38" fillId="0" borderId="0" xfId="0" applyNumberFormat="1" applyFont="1" applyBorder="1"/>
    <xf numFmtId="0" fontId="46" fillId="0" borderId="0" xfId="10" applyFont="1" applyFill="1" applyBorder="1" applyAlignment="1">
      <alignment horizontal="left" vertical="center"/>
    </xf>
    <xf numFmtId="3" fontId="38" fillId="0" borderId="0" xfId="0" applyNumberFormat="1" applyFont="1" applyAlignment="1">
      <alignment horizontal="center"/>
    </xf>
    <xf numFmtId="43" fontId="38" fillId="0" borderId="0" xfId="11" applyFont="1" applyAlignment="1">
      <alignment wrapText="1"/>
    </xf>
    <xf numFmtId="3" fontId="38" fillId="0" borderId="0" xfId="0" applyNumberFormat="1" applyFont="1" applyFill="1" applyAlignment="1">
      <alignment horizontal="center"/>
    </xf>
    <xf numFmtId="3" fontId="38" fillId="0" borderId="0" xfId="0" applyNumberFormat="1" applyFont="1" applyFill="1"/>
    <xf numFmtId="6" fontId="69" fillId="6" borderId="14" xfId="0" applyNumberFormat="1" applyFont="1" applyFill="1" applyBorder="1" applyAlignment="1">
      <alignment vertical="center"/>
    </xf>
    <xf numFmtId="0" fontId="69" fillId="6" borderId="15" xfId="0" applyFont="1" applyFill="1" applyBorder="1" applyAlignment="1">
      <alignment vertical="center"/>
    </xf>
    <xf numFmtId="0" fontId="69" fillId="0" borderId="0" xfId="0" applyFont="1" applyAlignment="1">
      <alignment horizontal="right"/>
    </xf>
    <xf numFmtId="0" fontId="69" fillId="6" borderId="17" xfId="0" applyFont="1" applyFill="1" applyBorder="1" applyAlignment="1">
      <alignment vertical="center"/>
    </xf>
    <xf numFmtId="0" fontId="69" fillId="6" borderId="16" xfId="0" applyFont="1" applyFill="1" applyBorder="1" applyAlignment="1">
      <alignment vertical="center"/>
    </xf>
    <xf numFmtId="9" fontId="69" fillId="6" borderId="20" xfId="0" applyNumberFormat="1" applyFont="1" applyFill="1" applyBorder="1" applyAlignment="1">
      <alignment horizontal="left" vertical="center"/>
    </xf>
    <xf numFmtId="0" fontId="127" fillId="0" borderId="0" xfId="10" applyFont="1" applyFill="1" applyBorder="1" applyAlignment="1">
      <alignment horizontal="left" vertical="center"/>
    </xf>
    <xf numFmtId="0" fontId="94" fillId="0" borderId="0" xfId="0" applyFont="1"/>
    <xf numFmtId="167" fontId="94" fillId="0" borderId="0" xfId="0" applyNumberFormat="1" applyFont="1"/>
    <xf numFmtId="3" fontId="94" fillId="0" borderId="0" xfId="0" applyNumberFormat="1" applyFont="1" applyAlignment="1">
      <alignment horizontal="center"/>
    </xf>
    <xf numFmtId="0" fontId="118" fillId="0" borderId="0" xfId="0" applyFont="1"/>
    <xf numFmtId="0" fontId="94" fillId="0" borderId="0" xfId="0" applyFont="1" applyAlignment="1">
      <alignment horizontal="right"/>
    </xf>
    <xf numFmtId="9" fontId="94" fillId="0" borderId="0" xfId="0" applyNumberFormat="1" applyFont="1"/>
    <xf numFmtId="167" fontId="94" fillId="0" borderId="0" xfId="0" applyNumberFormat="1" applyFont="1" applyAlignment="1">
      <alignment horizontal="left"/>
    </xf>
    <xf numFmtId="0" fontId="69" fillId="0" borderId="0" xfId="0" applyFont="1" applyFill="1" applyBorder="1"/>
    <xf numFmtId="0" fontId="69" fillId="6" borderId="14" xfId="0" applyFont="1" applyFill="1" applyBorder="1" applyAlignment="1">
      <alignment horizontal="center" vertical="center"/>
    </xf>
    <xf numFmtId="0" fontId="69" fillId="6" borderId="20" xfId="0" applyFont="1" applyFill="1" applyBorder="1" applyAlignment="1">
      <alignment vertical="center"/>
    </xf>
    <xf numFmtId="0" fontId="38" fillId="0" borderId="0" xfId="0" applyFont="1" applyAlignment="1">
      <alignment horizontal="left"/>
    </xf>
    <xf numFmtId="167" fontId="121" fillId="0" borderId="0" xfId="0" applyNumberFormat="1" applyFont="1" applyFill="1" applyBorder="1" applyAlignment="1">
      <alignment horizontal="left" vertical="center"/>
    </xf>
    <xf numFmtId="9" fontId="76" fillId="0" borderId="0" xfId="0" applyNumberFormat="1" applyFont="1"/>
    <xf numFmtId="0" fontId="76" fillId="0" borderId="0" xfId="0" applyFont="1" applyAlignment="1">
      <alignment horizontal="right"/>
    </xf>
    <xf numFmtId="167" fontId="55" fillId="6" borderId="14" xfId="0" applyNumberFormat="1" applyFont="1" applyFill="1" applyBorder="1" applyAlignment="1">
      <alignment horizontal="center" vertical="center"/>
    </xf>
    <xf numFmtId="1" fontId="76" fillId="0" borderId="0" xfId="0" applyNumberFormat="1" applyFont="1"/>
    <xf numFmtId="0" fontId="106" fillId="0" borderId="0" xfId="0" applyFont="1" applyAlignment="1"/>
    <xf numFmtId="167" fontId="54" fillId="6" borderId="14" xfId="0" applyNumberFormat="1" applyFont="1" applyFill="1" applyBorder="1" applyAlignment="1">
      <alignment horizontal="center" vertical="center"/>
    </xf>
    <xf numFmtId="0" fontId="71" fillId="0" borderId="0" xfId="0" applyFont="1" applyFill="1" applyAlignment="1">
      <alignment horizontal="center"/>
    </xf>
    <xf numFmtId="0" fontId="71" fillId="0" borderId="0" xfId="0" applyFont="1" applyAlignment="1">
      <alignment horizontal="center"/>
    </xf>
    <xf numFmtId="0" fontId="128" fillId="0" borderId="0" xfId="3" applyFont="1" applyFill="1" applyBorder="1" applyAlignment="1">
      <alignment horizontal="left" vertical="center"/>
    </xf>
    <xf numFmtId="0" fontId="128" fillId="0" borderId="0" xfId="0" applyFont="1"/>
    <xf numFmtId="0" fontId="59" fillId="4" borderId="38" xfId="0" applyFont="1" applyFill="1" applyBorder="1" applyAlignment="1">
      <alignment vertical="center"/>
    </xf>
    <xf numFmtId="0" fontId="67" fillId="0" borderId="0" xfId="0" applyFont="1" applyAlignment="1"/>
    <xf numFmtId="0" fontId="114" fillId="0" borderId="0" xfId="0" applyFont="1" applyFill="1"/>
    <xf numFmtId="0" fontId="129" fillId="4" borderId="14" xfId="0" applyFont="1" applyFill="1" applyBorder="1" applyAlignment="1">
      <alignment horizontal="right" vertical="center"/>
    </xf>
    <xf numFmtId="0" fontId="130" fillId="0" borderId="0" xfId="0" applyFont="1"/>
    <xf numFmtId="0" fontId="69" fillId="0" borderId="0" xfId="0" applyFont="1" applyFill="1" applyBorder="1" applyAlignment="1">
      <alignment horizontal="right"/>
    </xf>
    <xf numFmtId="0" fontId="69" fillId="0" borderId="0" xfId="0" applyFont="1" applyFill="1" applyBorder="1" applyAlignment="1">
      <alignment horizontal="center"/>
    </xf>
    <xf numFmtId="0" fontId="103" fillId="0" borderId="0" xfId="0" applyFont="1" applyFill="1"/>
    <xf numFmtId="0" fontId="69" fillId="0" borderId="0" xfId="0" applyFont="1" applyFill="1" applyBorder="1" applyAlignment="1">
      <alignment horizontal="center" wrapText="1"/>
    </xf>
    <xf numFmtId="0" fontId="129" fillId="4" borderId="14" xfId="0" applyFont="1" applyFill="1" applyBorder="1" applyAlignment="1">
      <alignment horizontal="center" vertical="center"/>
    </xf>
    <xf numFmtId="0" fontId="103" fillId="0" borderId="0" xfId="0" applyFont="1" applyFill="1" applyAlignment="1">
      <alignment vertical="center"/>
    </xf>
    <xf numFmtId="0" fontId="94" fillId="0" borderId="0" xfId="0" applyFont="1" applyAlignment="1">
      <alignment vertical="center"/>
    </xf>
    <xf numFmtId="0" fontId="55" fillId="6" borderId="22" xfId="0" applyNumberFormat="1" applyFont="1" applyFill="1" applyBorder="1" applyAlignment="1">
      <alignment vertical="center"/>
    </xf>
    <xf numFmtId="0" fontId="54" fillId="6" borderId="14" xfId="0" applyFont="1" applyFill="1" applyBorder="1" applyAlignment="1">
      <alignment vertical="center"/>
    </xf>
    <xf numFmtId="0" fontId="131" fillId="0" borderId="0" xfId="0" applyFont="1" applyAlignment="1">
      <alignment horizontal="center"/>
    </xf>
    <xf numFmtId="0" fontId="54" fillId="2" borderId="53" xfId="3" applyFont="1" applyFill="1" applyBorder="1" applyAlignment="1">
      <alignment horizontal="center" vertical="center"/>
    </xf>
    <xf numFmtId="0" fontId="54" fillId="2" borderId="54" xfId="3" applyFont="1" applyFill="1" applyBorder="1" applyAlignment="1">
      <alignment horizontal="center" vertical="center"/>
    </xf>
    <xf numFmtId="0" fontId="120" fillId="2" borderId="50" xfId="3" applyFont="1" applyFill="1" applyBorder="1" applyAlignment="1">
      <alignment horizontal="center" vertical="center"/>
    </xf>
    <xf numFmtId="49" fontId="38" fillId="0" borderId="0" xfId="0" applyNumberFormat="1" applyFont="1"/>
    <xf numFmtId="0" fontId="61" fillId="3" borderId="0" xfId="0" applyFont="1" applyFill="1" applyBorder="1" applyAlignment="1">
      <alignment horizontal="left" vertical="center" wrapText="1"/>
    </xf>
    <xf numFmtId="0" fontId="61" fillId="6" borderId="0"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61" fillId="0" borderId="0" xfId="0" applyFont="1" applyBorder="1" applyAlignment="1">
      <alignment horizontal="left" vertical="center" wrapText="1"/>
    </xf>
    <xf numFmtId="0" fontId="61" fillId="0" borderId="59" xfId="0" applyFont="1" applyBorder="1" applyAlignment="1">
      <alignment vertical="center" wrapText="1"/>
    </xf>
    <xf numFmtId="0" fontId="61" fillId="6" borderId="49" xfId="0" applyFont="1" applyFill="1" applyBorder="1" applyAlignment="1">
      <alignment vertical="center" wrapText="1"/>
    </xf>
    <xf numFmtId="0" fontId="61" fillId="0" borderId="49" xfId="0" applyFont="1" applyBorder="1" applyAlignment="1">
      <alignment vertical="center" wrapText="1"/>
    </xf>
    <xf numFmtId="0" fontId="61" fillId="0" borderId="49" xfId="0" applyFont="1" applyFill="1" applyBorder="1" applyAlignment="1">
      <alignment vertical="center" wrapText="1"/>
    </xf>
    <xf numFmtId="9" fontId="123" fillId="3" borderId="49" xfId="0" applyNumberFormat="1" applyFont="1" applyFill="1" applyBorder="1" applyAlignment="1">
      <alignment vertical="center" wrapText="1"/>
    </xf>
    <xf numFmtId="0" fontId="53" fillId="0" borderId="47" xfId="0" applyFont="1" applyFill="1" applyBorder="1" applyAlignment="1">
      <alignment horizontal="center"/>
    </xf>
    <xf numFmtId="10" fontId="17" fillId="0" borderId="0" xfId="2" applyNumberFormat="1" applyFont="1"/>
    <xf numFmtId="10" fontId="17" fillId="0" borderId="0" xfId="2" applyNumberFormat="1" applyFont="1" applyAlignment="1">
      <alignment horizontal="left"/>
    </xf>
    <xf numFmtId="0" fontId="27" fillId="0" borderId="0" xfId="0" applyNumberFormat="1" applyFont="1"/>
    <xf numFmtId="0" fontId="55" fillId="0" borderId="80" xfId="0" applyFont="1" applyBorder="1" applyAlignment="1">
      <alignment horizontal="right" wrapText="1"/>
    </xf>
    <xf numFmtId="0" fontId="55" fillId="0" borderId="13" xfId="0" applyFont="1" applyBorder="1" applyAlignment="1">
      <alignment horizontal="right" wrapText="1"/>
    </xf>
    <xf numFmtId="0" fontId="69" fillId="0" borderId="0" xfId="0" applyFont="1" applyBorder="1" applyAlignment="1">
      <alignment wrapText="1"/>
    </xf>
    <xf numFmtId="0" fontId="69" fillId="2" borderId="0" xfId="0" applyFont="1" applyFill="1" applyBorder="1" applyAlignment="1">
      <alignment horizontal="right" wrapText="1"/>
    </xf>
    <xf numFmtId="0" fontId="69" fillId="0" borderId="0" xfId="0" applyFont="1" applyFill="1" applyBorder="1" applyAlignment="1">
      <alignment horizontal="right" wrapText="1"/>
    </xf>
    <xf numFmtId="0" fontId="132" fillId="3" borderId="0" xfId="0" applyFont="1" applyFill="1" applyBorder="1" applyAlignment="1">
      <alignment horizontal="left" wrapText="1"/>
    </xf>
    <xf numFmtId="0" fontId="133" fillId="3" borderId="0" xfId="0" applyFont="1" applyFill="1" applyBorder="1" applyAlignment="1">
      <alignment horizontal="right" wrapText="1"/>
    </xf>
    <xf numFmtId="0" fontId="100" fillId="3" borderId="0" xfId="0" applyFont="1" applyFill="1" applyBorder="1" applyAlignment="1">
      <alignment horizontal="right" wrapText="1"/>
    </xf>
    <xf numFmtId="0" fontId="132" fillId="0" borderId="0" xfId="0" applyFont="1" applyFill="1" applyBorder="1" applyAlignment="1">
      <alignment horizontal="left" wrapText="1"/>
    </xf>
    <xf numFmtId="0" fontId="133" fillId="0" borderId="0" xfId="0" applyFont="1" applyFill="1" applyBorder="1" applyAlignment="1">
      <alignment horizontal="right" wrapText="1"/>
    </xf>
    <xf numFmtId="0" fontId="132" fillId="3" borderId="0" xfId="0" applyFont="1" applyFill="1" applyBorder="1" applyAlignment="1">
      <alignment horizontal="left" vertical="center" wrapText="1"/>
    </xf>
    <xf numFmtId="0" fontId="133" fillId="3" borderId="0" xfId="0" applyFont="1" applyFill="1" applyBorder="1" applyAlignment="1">
      <alignment horizontal="right" vertical="center" wrapText="1"/>
    </xf>
    <xf numFmtId="0" fontId="100" fillId="0" borderId="0" xfId="0" applyFont="1" applyBorder="1" applyAlignment="1">
      <alignment horizontal="left" wrapText="1"/>
    </xf>
    <xf numFmtId="0" fontId="69" fillId="0" borderId="0" xfId="0" applyFont="1" applyBorder="1"/>
    <xf numFmtId="0" fontId="69" fillId="0" borderId="0" xfId="0" applyFont="1" applyFill="1" applyBorder="1" applyAlignment="1">
      <alignment vertical="center"/>
    </xf>
    <xf numFmtId="0" fontId="132" fillId="0" borderId="0" xfId="0" applyFont="1" applyFill="1" applyBorder="1" applyAlignment="1">
      <alignment horizontal="left" vertical="center" wrapText="1"/>
    </xf>
    <xf numFmtId="6" fontId="94" fillId="0" borderId="0" xfId="0" applyNumberFormat="1" applyFont="1"/>
    <xf numFmtId="0" fontId="88" fillId="0" borderId="0" xfId="0" applyFont="1" applyAlignment="1">
      <alignment horizontal="left" wrapText="1"/>
    </xf>
    <xf numFmtId="0" fontId="93" fillId="0" borderId="0" xfId="3" applyFont="1"/>
    <xf numFmtId="9" fontId="27" fillId="0" borderId="0" xfId="0" applyNumberFormat="1" applyFont="1"/>
    <xf numFmtId="0" fontId="67" fillId="0" borderId="0" xfId="0" applyFont="1" applyAlignment="1">
      <alignment horizontal="left" wrapText="1"/>
    </xf>
    <xf numFmtId="0" fontId="0" fillId="0" borderId="0" xfId="0" applyAlignment="1">
      <alignment horizontal="left" wrapText="1"/>
    </xf>
    <xf numFmtId="0" fontId="88" fillId="0" borderId="0" xfId="0" applyFont="1" applyAlignment="1">
      <alignment vertical="top"/>
    </xf>
    <xf numFmtId="0" fontId="88" fillId="0" borderId="0" xfId="0" applyFont="1" applyAlignment="1">
      <alignment wrapText="1"/>
    </xf>
    <xf numFmtId="0" fontId="103" fillId="0" borderId="0" xfId="0" applyFont="1" applyAlignment="1">
      <alignment horizontal="left" wrapText="1"/>
    </xf>
    <xf numFmtId="0" fontId="88" fillId="0" borderId="0" xfId="0" applyFont="1" applyAlignment="1">
      <alignment vertical="top" wrapText="1"/>
    </xf>
    <xf numFmtId="0" fontId="88" fillId="0" borderId="0" xfId="0" applyFont="1" applyBorder="1"/>
    <xf numFmtId="0" fontId="134" fillId="0" borderId="0" xfId="0" applyFont="1" applyAlignment="1">
      <alignment horizontal="left"/>
    </xf>
    <xf numFmtId="0" fontId="134" fillId="0" borderId="0" xfId="0" applyNumberFormat="1" applyFont="1"/>
    <xf numFmtId="0" fontId="134" fillId="0" borderId="0" xfId="0" applyFont="1" applyFill="1" applyAlignment="1">
      <alignment horizontal="left"/>
    </xf>
    <xf numFmtId="0" fontId="135" fillId="0" borderId="0" xfId="3" applyFont="1" applyFill="1" applyBorder="1" applyAlignment="1">
      <alignment horizontal="left" vertical="center"/>
    </xf>
    <xf numFmtId="0" fontId="100" fillId="0" borderId="0" xfId="0" applyFont="1" applyFill="1" applyBorder="1" applyAlignment="1">
      <alignment horizontal="center" vertical="center" wrapText="1"/>
    </xf>
    <xf numFmtId="0" fontId="54" fillId="0" borderId="0" xfId="0" applyFont="1" applyBorder="1" applyAlignment="1">
      <alignment horizontal="center" wrapText="1"/>
    </xf>
    <xf numFmtId="3" fontId="136" fillId="0" borderId="0" xfId="0" applyNumberFormat="1" applyFont="1" applyBorder="1" applyAlignment="1">
      <alignment horizontal="center" vertical="center" wrapText="1"/>
    </xf>
    <xf numFmtId="0" fontId="27" fillId="0" borderId="0" xfId="3" applyFont="1" applyBorder="1"/>
    <xf numFmtId="0" fontId="27" fillId="0" borderId="0" xfId="3" applyFont="1" applyBorder="1" applyAlignment="1">
      <alignment horizontal="right"/>
    </xf>
    <xf numFmtId="3" fontId="137" fillId="0" borderId="0" xfId="0" applyNumberFormat="1" applyFont="1" applyBorder="1" applyAlignment="1">
      <alignment horizontal="center" vertical="center" wrapText="1"/>
    </xf>
    <xf numFmtId="0" fontId="27" fillId="0" borderId="0" xfId="3" applyFont="1"/>
    <xf numFmtId="3" fontId="27" fillId="0" borderId="0" xfId="3" applyNumberFormat="1" applyFont="1" applyFill="1" applyBorder="1" applyAlignment="1">
      <alignment horizontal="left"/>
    </xf>
    <xf numFmtId="3" fontId="137" fillId="0" borderId="0" xfId="0" applyNumberFormat="1" applyFont="1" applyBorder="1" applyAlignment="1">
      <alignment horizontal="left" vertical="center" wrapText="1"/>
    </xf>
    <xf numFmtId="3" fontId="27" fillId="0" borderId="0" xfId="3" applyNumberFormat="1" applyFont="1" applyFill="1" applyBorder="1" applyAlignment="1">
      <alignment horizontal="center"/>
    </xf>
    <xf numFmtId="3" fontId="19" fillId="0" borderId="0" xfId="3" applyNumberFormat="1" applyFont="1" applyAlignment="1">
      <alignment horizontal="left"/>
    </xf>
    <xf numFmtId="3" fontId="27" fillId="0" borderId="0" xfId="3" applyNumberFormat="1" applyFont="1" applyAlignment="1">
      <alignment horizontal="left"/>
    </xf>
    <xf numFmtId="9" fontId="27" fillId="0" borderId="0" xfId="3" applyNumberFormat="1" applyFont="1" applyFill="1" applyBorder="1"/>
    <xf numFmtId="9" fontId="27" fillId="0" borderId="0" xfId="3" applyNumberFormat="1" applyFont="1" applyAlignment="1">
      <alignment horizontal="left"/>
    </xf>
    <xf numFmtId="0" fontId="136" fillId="0" borderId="0" xfId="0" applyFont="1" applyAlignment="1">
      <alignment vertical="center"/>
    </xf>
    <xf numFmtId="3" fontId="136" fillId="0" borderId="0" xfId="0" applyNumberFormat="1" applyFont="1" applyBorder="1" applyAlignment="1">
      <alignment horizontal="center" vertical="center"/>
    </xf>
    <xf numFmtId="9" fontId="27" fillId="0" borderId="0" xfId="3" applyNumberFormat="1" applyFont="1" applyFill="1" applyBorder="1" applyAlignment="1">
      <alignment horizontal="left" vertical="center"/>
    </xf>
    <xf numFmtId="0" fontId="55" fillId="0" borderId="0" xfId="3" applyFont="1" applyFill="1" applyBorder="1" applyAlignment="1">
      <alignment horizontal="left" vertical="center"/>
    </xf>
    <xf numFmtId="0" fontId="6" fillId="0" borderId="0" xfId="6" applyFont="1"/>
    <xf numFmtId="0" fontId="6" fillId="0" borderId="0" xfId="6" applyFont="1" applyFill="1" applyBorder="1" applyAlignment="1">
      <alignment horizontal="center" vertical="center"/>
    </xf>
    <xf numFmtId="0" fontId="6" fillId="0" borderId="0" xfId="6" applyFont="1" applyFill="1" applyBorder="1" applyAlignment="1">
      <alignment horizontal="center" vertical="center" wrapText="1"/>
    </xf>
    <xf numFmtId="0" fontId="6" fillId="0" borderId="0" xfId="6" applyFont="1" applyBorder="1" applyAlignment="1">
      <alignment horizontal="center" vertical="center"/>
    </xf>
    <xf numFmtId="0" fontId="6" fillId="0" borderId="0" xfId="6" applyFont="1" applyBorder="1" applyAlignment="1">
      <alignment horizontal="center"/>
    </xf>
    <xf numFmtId="0" fontId="6" fillId="0" borderId="0" xfId="6" applyFont="1" applyFill="1" applyBorder="1" applyAlignment="1">
      <alignment horizontal="center"/>
    </xf>
    <xf numFmtId="0" fontId="6" fillId="0" borderId="88" xfId="6" applyFont="1" applyBorder="1" applyAlignment="1">
      <alignment horizontal="center"/>
    </xf>
    <xf numFmtId="0" fontId="17" fillId="0" borderId="0" xfId="2" applyFont="1" applyFill="1" applyBorder="1" applyAlignment="1">
      <alignment horizontal="left"/>
    </xf>
    <xf numFmtId="0" fontId="20" fillId="0" borderId="0" xfId="2" applyFont="1" applyFill="1" applyBorder="1" applyAlignment="1">
      <alignment horizontal="center"/>
    </xf>
    <xf numFmtId="0" fontId="17" fillId="0" borderId="0" xfId="2" applyFont="1" applyFill="1"/>
    <xf numFmtId="0" fontId="138" fillId="0" borderId="0" xfId="0" applyFont="1" applyAlignment="1">
      <alignment horizontal="left"/>
    </xf>
    <xf numFmtId="0" fontId="138" fillId="0" borderId="0" xfId="0" applyNumberFormat="1" applyFont="1"/>
    <xf numFmtId="0" fontId="140" fillId="0" borderId="0" xfId="0" applyFont="1" applyAlignment="1">
      <alignment vertical="center"/>
    </xf>
    <xf numFmtId="0" fontId="55" fillId="8" borderId="14" xfId="0" applyFont="1" applyFill="1" applyBorder="1"/>
    <xf numFmtId="0" fontId="54" fillId="8" borderId="14" xfId="0" applyFont="1" applyFill="1" applyBorder="1"/>
    <xf numFmtId="0" fontId="59" fillId="8" borderId="14" xfId="0" applyFont="1" applyFill="1" applyBorder="1" applyAlignment="1">
      <alignment horizontal="center"/>
    </xf>
    <xf numFmtId="0" fontId="55" fillId="8" borderId="14" xfId="0" applyFont="1" applyFill="1" applyBorder="1" applyAlignment="1">
      <alignment vertical="center"/>
    </xf>
    <xf numFmtId="0" fontId="54" fillId="8" borderId="14" xfId="0" applyFont="1" applyFill="1" applyBorder="1" applyAlignment="1">
      <alignment vertical="center"/>
    </xf>
    <xf numFmtId="0" fontId="55" fillId="8" borderId="15" xfId="0" applyFont="1" applyFill="1" applyBorder="1" applyAlignment="1"/>
    <xf numFmtId="0" fontId="55" fillId="8" borderId="15" xfId="0" applyFont="1" applyFill="1" applyBorder="1" applyAlignment="1">
      <alignment vertical="center"/>
    </xf>
    <xf numFmtId="0" fontId="114" fillId="4" borderId="14" xfId="0" applyFont="1" applyFill="1" applyBorder="1" applyAlignment="1">
      <alignment horizontal="center" vertical="center"/>
    </xf>
    <xf numFmtId="0" fontId="59" fillId="8" borderId="15" xfId="0" applyFont="1" applyFill="1" applyBorder="1" applyAlignment="1">
      <alignment horizontal="center"/>
    </xf>
    <xf numFmtId="9" fontId="55" fillId="0" borderId="0" xfId="0" applyNumberFormat="1" applyFont="1" applyAlignment="1">
      <alignment horizontal="right"/>
    </xf>
    <xf numFmtId="0" fontId="53" fillId="9" borderId="14" xfId="0" applyFont="1" applyFill="1" applyBorder="1" applyAlignment="1">
      <alignment horizontal="center"/>
    </xf>
    <xf numFmtId="0" fontId="55" fillId="9" borderId="14" xfId="0" applyFont="1" applyFill="1" applyBorder="1"/>
    <xf numFmtId="0" fontId="54" fillId="9" borderId="14" xfId="0" applyFont="1" applyFill="1" applyBorder="1"/>
    <xf numFmtId="0" fontId="122" fillId="9" borderId="14" xfId="0" applyFont="1" applyFill="1" applyBorder="1" applyAlignment="1">
      <alignment horizontal="right"/>
    </xf>
    <xf numFmtId="0" fontId="55" fillId="9" borderId="14" xfId="0" applyFont="1" applyFill="1" applyBorder="1" applyAlignment="1">
      <alignment vertical="center"/>
    </xf>
    <xf numFmtId="0" fontId="54" fillId="9" borderId="14" xfId="0" applyFont="1" applyFill="1" applyBorder="1" applyAlignment="1">
      <alignment vertical="center"/>
    </xf>
    <xf numFmtId="0" fontId="59" fillId="4" borderId="14" xfId="0" applyFont="1" applyFill="1" applyBorder="1"/>
    <xf numFmtId="0" fontId="59" fillId="4" borderId="14" xfId="0" applyFont="1" applyFill="1" applyBorder="1" applyAlignment="1">
      <alignment vertical="center"/>
    </xf>
    <xf numFmtId="0" fontId="59" fillId="0" borderId="14" xfId="0" applyFont="1" applyFill="1" applyBorder="1"/>
    <xf numFmtId="0" fontId="59" fillId="0" borderId="0" xfId="0" applyFont="1"/>
    <xf numFmtId="0" fontId="142" fillId="0" borderId="0" xfId="3" applyFont="1" applyFill="1" applyBorder="1" applyAlignment="1">
      <alignment horizontal="left" vertical="center"/>
    </xf>
    <xf numFmtId="0" fontId="138" fillId="0" borderId="0" xfId="0" applyFont="1" applyFill="1" applyAlignment="1">
      <alignment horizontal="left"/>
    </xf>
    <xf numFmtId="0" fontId="138" fillId="0" borderId="0" xfId="0" applyFont="1"/>
    <xf numFmtId="0" fontId="88" fillId="0" borderId="0" xfId="0" applyFont="1" applyBorder="1" applyAlignment="1"/>
    <xf numFmtId="0" fontId="143" fillId="0" borderId="0" xfId="0" applyFont="1"/>
    <xf numFmtId="0" fontId="54" fillId="0" borderId="0" xfId="0" applyFont="1" applyFill="1" applyBorder="1" applyAlignment="1">
      <alignment horizontal="center" vertical="center"/>
    </xf>
    <xf numFmtId="0" fontId="69" fillId="6" borderId="20" xfId="0" applyFont="1" applyFill="1" applyBorder="1" applyAlignment="1"/>
    <xf numFmtId="0" fontId="69" fillId="6" borderId="21" xfId="0" applyFont="1" applyFill="1" applyBorder="1" applyAlignment="1"/>
    <xf numFmtId="167" fontId="69" fillId="0" borderId="63" xfId="0" applyNumberFormat="1" applyFont="1" applyFill="1" applyBorder="1" applyAlignment="1">
      <alignment horizontal="left"/>
    </xf>
    <xf numFmtId="167" fontId="69" fillId="0" borderId="18" xfId="0" applyNumberFormat="1" applyFont="1" applyFill="1" applyBorder="1" applyAlignment="1">
      <alignment horizontal="left"/>
    </xf>
    <xf numFmtId="6" fontId="55" fillId="0" borderId="0" xfId="0" applyNumberFormat="1" applyFont="1" applyAlignment="1">
      <alignment horizontal="right"/>
    </xf>
    <xf numFmtId="0" fontId="55" fillId="6" borderId="14" xfId="0" applyFont="1" applyFill="1" applyBorder="1" applyAlignment="1">
      <alignment horizontal="left" vertical="center"/>
    </xf>
    <xf numFmtId="0" fontId="54" fillId="3" borderId="14" xfId="0" applyFont="1" applyFill="1" applyBorder="1" applyAlignment="1">
      <alignment horizontal="center" vertical="center"/>
    </xf>
    <xf numFmtId="0" fontId="54" fillId="3" borderId="15" xfId="0" applyFont="1" applyFill="1" applyBorder="1" applyAlignment="1">
      <alignment horizontal="center" vertical="center"/>
    </xf>
    <xf numFmtId="0" fontId="54" fillId="3" borderId="15" xfId="0" applyFont="1" applyFill="1" applyBorder="1" applyAlignment="1">
      <alignment horizontal="left" vertical="center"/>
    </xf>
    <xf numFmtId="0" fontId="50" fillId="4" borderId="89" xfId="0" applyFont="1" applyFill="1" applyBorder="1" applyAlignment="1">
      <alignment horizontal="center" vertical="center"/>
    </xf>
    <xf numFmtId="3" fontId="0" fillId="0" borderId="0" xfId="0" applyNumberFormat="1" applyAlignment="1">
      <alignment horizontal="center"/>
    </xf>
    <xf numFmtId="0" fontId="38" fillId="0" borderId="0" xfId="0" applyFont="1" applyAlignment="1">
      <alignment horizontal="left"/>
    </xf>
    <xf numFmtId="0" fontId="59" fillId="4" borderId="25" xfId="0" applyFont="1" applyFill="1" applyBorder="1" applyAlignment="1">
      <alignment horizontal="center" vertical="center"/>
    </xf>
    <xf numFmtId="6" fontId="114" fillId="4" borderId="14" xfId="0" applyNumberFormat="1" applyFont="1" applyFill="1" applyBorder="1" applyAlignment="1">
      <alignment vertical="center"/>
    </xf>
    <xf numFmtId="0" fontId="21" fillId="0" borderId="0" xfId="0" applyFont="1" applyBorder="1"/>
    <xf numFmtId="0" fontId="21" fillId="0" borderId="0" xfId="0" applyNumberFormat="1" applyFont="1" applyBorder="1"/>
    <xf numFmtId="0" fontId="59" fillId="4" borderId="63" xfId="0" applyFont="1" applyFill="1" applyBorder="1" applyAlignment="1">
      <alignment horizontal="center" vertical="center" wrapText="1"/>
    </xf>
    <xf numFmtId="0" fontId="70" fillId="0" borderId="0" xfId="0" applyFont="1" applyAlignment="1">
      <alignment vertical="center"/>
    </xf>
    <xf numFmtId="0" fontId="38" fillId="0" borderId="0" xfId="0" applyFont="1" applyAlignment="1">
      <alignment horizontal="left"/>
    </xf>
    <xf numFmtId="0" fontId="134" fillId="0" borderId="0" xfId="0" applyFont="1"/>
    <xf numFmtId="0" fontId="145" fillId="0" borderId="0" xfId="0" applyFont="1" applyFill="1" applyAlignment="1">
      <alignment horizontal="left"/>
    </xf>
    <xf numFmtId="0" fontId="69" fillId="0" borderId="0" xfId="0" applyFont="1" applyFill="1" applyBorder="1" applyAlignment="1">
      <alignment horizontal="left" vertical="center" wrapText="1"/>
    </xf>
    <xf numFmtId="0" fontId="55" fillId="0" borderId="0" xfId="0" applyFont="1" applyFill="1" applyAlignment="1">
      <alignment wrapText="1"/>
    </xf>
    <xf numFmtId="0" fontId="69" fillId="6" borderId="16" xfId="0" applyFont="1" applyFill="1" applyBorder="1" applyAlignment="1"/>
    <xf numFmtId="0" fontId="69" fillId="6" borderId="19" xfId="0" applyFont="1" applyFill="1" applyBorder="1" applyAlignment="1"/>
    <xf numFmtId="0" fontId="49" fillId="0" borderId="0" xfId="0" applyFont="1" applyAlignment="1">
      <alignment vertical="center"/>
    </xf>
    <xf numFmtId="0" fontId="40" fillId="6" borderId="14" xfId="0" applyFont="1" applyFill="1" applyBorder="1" applyAlignment="1">
      <alignment vertical="center"/>
    </xf>
    <xf numFmtId="0" fontId="38" fillId="0" borderId="0" xfId="0" applyFont="1" applyFill="1" applyAlignment="1">
      <alignment vertical="center"/>
    </xf>
    <xf numFmtId="0" fontId="40" fillId="0" borderId="14" xfId="0" applyFont="1" applyFill="1" applyBorder="1" applyAlignment="1">
      <alignment vertical="center"/>
    </xf>
    <xf numFmtId="0" fontId="55" fillId="0" borderId="14" xfId="0" applyFont="1" applyFill="1" applyBorder="1" applyAlignment="1">
      <alignment vertical="center"/>
    </xf>
    <xf numFmtId="0" fontId="87" fillId="0" borderId="14" xfId="0" applyFont="1" applyFill="1" applyBorder="1" applyAlignment="1">
      <alignment vertical="center"/>
    </xf>
    <xf numFmtId="0" fontId="89" fillId="0" borderId="14" xfId="0" applyFont="1" applyFill="1" applyBorder="1" applyAlignment="1">
      <alignment vertical="center"/>
    </xf>
    <xf numFmtId="0" fontId="41" fillId="6" borderId="14" xfId="0" applyFont="1" applyFill="1" applyBorder="1" applyAlignment="1">
      <alignment vertical="center"/>
    </xf>
    <xf numFmtId="0" fontId="146" fillId="0" borderId="0" xfId="2" applyFont="1" applyFill="1" applyBorder="1" applyAlignment="1">
      <alignment horizontal="center" vertical="center"/>
    </xf>
    <xf numFmtId="0" fontId="55" fillId="0" borderId="0" xfId="2" applyFont="1" applyFill="1"/>
    <xf numFmtId="167" fontId="88" fillId="0" borderId="0" xfId="0" applyNumberFormat="1" applyFont="1"/>
    <xf numFmtId="0" fontId="114" fillId="0" borderId="0" xfId="0" applyFont="1" applyFill="1" applyBorder="1" applyAlignment="1">
      <alignment horizontal="left" vertical="center" wrapText="1"/>
    </xf>
    <xf numFmtId="0" fontId="55" fillId="6" borderId="14" xfId="2" applyFont="1" applyFill="1" applyBorder="1" applyAlignment="1">
      <alignment horizontal="right" vertical="center"/>
    </xf>
    <xf numFmtId="0" fontId="55" fillId="6" borderId="14" xfId="2" applyFont="1" applyFill="1" applyBorder="1" applyAlignment="1">
      <alignment horizontal="center" vertical="center"/>
    </xf>
    <xf numFmtId="0" fontId="147" fillId="0" borderId="0" xfId="0" applyFont="1"/>
    <xf numFmtId="0" fontId="100" fillId="3" borderId="42" xfId="2" applyFont="1" applyFill="1" applyBorder="1" applyAlignment="1">
      <alignment horizontal="center" vertical="center" wrapText="1"/>
    </xf>
    <xf numFmtId="0" fontId="100" fillId="3" borderId="43" xfId="2" applyFont="1" applyFill="1" applyBorder="1" applyAlignment="1">
      <alignment horizontal="center" vertical="center" wrapText="1"/>
    </xf>
    <xf numFmtId="0" fontId="100" fillId="3" borderId="15" xfId="2" applyFont="1" applyFill="1" applyBorder="1" applyAlignment="1">
      <alignment horizontal="center" vertical="center" wrapText="1"/>
    </xf>
    <xf numFmtId="49" fontId="69" fillId="6" borderId="39" xfId="2" applyNumberFormat="1" applyFont="1" applyFill="1" applyBorder="1" applyAlignment="1">
      <alignment horizontal="center" vertical="center"/>
    </xf>
    <xf numFmtId="49" fontId="69" fillId="6" borderId="40" xfId="2" applyNumberFormat="1" applyFont="1" applyFill="1" applyBorder="1" applyAlignment="1">
      <alignment horizontal="center" vertical="center"/>
    </xf>
    <xf numFmtId="49" fontId="69" fillId="6" borderId="15" xfId="2" applyNumberFormat="1" applyFont="1" applyFill="1" applyBorder="1" applyAlignment="1">
      <alignment horizontal="center" vertical="center" wrapText="1"/>
    </xf>
    <xf numFmtId="49" fontId="69" fillId="6" borderId="15" xfId="2" applyNumberFormat="1" applyFont="1" applyFill="1" applyBorder="1" applyAlignment="1">
      <alignment horizontal="center" vertical="center"/>
    </xf>
    <xf numFmtId="1" fontId="115" fillId="0" borderId="0" xfId="0" applyNumberFormat="1" applyFont="1" applyAlignment="1">
      <alignment horizontal="left"/>
    </xf>
    <xf numFmtId="9" fontId="103" fillId="0" borderId="0" xfId="0" applyNumberFormat="1" applyFont="1" applyAlignment="1">
      <alignment horizontal="left" vertical="center"/>
    </xf>
    <xf numFmtId="0" fontId="55" fillId="6" borderId="14" xfId="0" applyNumberFormat="1" applyFont="1" applyFill="1" applyBorder="1" applyAlignment="1">
      <alignment horizontal="center" vertical="center" wrapText="1"/>
    </xf>
    <xf numFmtId="9" fontId="55" fillId="6" borderId="14" xfId="0" applyNumberFormat="1" applyFont="1" applyFill="1" applyBorder="1" applyAlignment="1">
      <alignment horizontal="center" vertical="center" wrapText="1"/>
    </xf>
    <xf numFmtId="0" fontId="148" fillId="0" borderId="0" xfId="0" applyFont="1" applyAlignment="1">
      <alignment wrapText="1"/>
    </xf>
    <xf numFmtId="0" fontId="55" fillId="0" borderId="0" xfId="0" applyFont="1" applyBorder="1" applyAlignment="1">
      <alignment vertical="center"/>
    </xf>
    <xf numFmtId="10" fontId="149" fillId="0" borderId="0" xfId="0" applyNumberFormat="1" applyFont="1" applyBorder="1" applyAlignment="1">
      <alignment horizontal="center"/>
    </xf>
    <xf numFmtId="0" fontId="117" fillId="0" borderId="0" xfId="0" applyFont="1" applyAlignment="1">
      <alignment horizontal="left" vertical="center" indent="1"/>
    </xf>
    <xf numFmtId="0" fontId="150" fillId="0" borderId="0" xfId="0" applyFont="1" applyAlignment="1">
      <alignment horizontal="center" vertical="center" readingOrder="1"/>
    </xf>
    <xf numFmtId="0" fontId="146" fillId="0" borderId="14" xfId="0" applyFont="1" applyFill="1" applyBorder="1" applyAlignment="1">
      <alignment horizontal="center" vertical="center"/>
    </xf>
    <xf numFmtId="0" fontId="27" fillId="0" borderId="14"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69" fillId="0" borderId="91" xfId="0" applyFont="1" applyFill="1" applyBorder="1" applyAlignment="1">
      <alignment vertical="center" wrapText="1"/>
    </xf>
    <xf numFmtId="0" fontId="114" fillId="4" borderId="14" xfId="0" applyFont="1" applyFill="1" applyBorder="1" applyAlignment="1">
      <alignment horizontal="center" vertical="center" wrapText="1"/>
    </xf>
    <xf numFmtId="49" fontId="148" fillId="0" borderId="0" xfId="0" applyNumberFormat="1" applyFont="1"/>
    <xf numFmtId="0" fontId="107" fillId="0" borderId="0" xfId="0" applyFont="1" applyAlignment="1">
      <alignment wrapText="1"/>
    </xf>
    <xf numFmtId="0" fontId="78" fillId="0" borderId="0" xfId="0" applyFont="1" applyFill="1"/>
    <xf numFmtId="0" fontId="85" fillId="0" borderId="0" xfId="0" applyFont="1" applyAlignment="1">
      <alignment vertical="center"/>
    </xf>
    <xf numFmtId="2" fontId="38" fillId="0" borderId="0" xfId="0" applyNumberFormat="1" applyFont="1"/>
    <xf numFmtId="10" fontId="38" fillId="0" borderId="0" xfId="0" applyNumberFormat="1" applyFont="1" applyBorder="1" applyAlignment="1">
      <alignment horizontal="left"/>
    </xf>
    <xf numFmtId="9" fontId="38" fillId="0" borderId="0" xfId="0" applyNumberFormat="1" applyFont="1" applyAlignment="1">
      <alignment horizontal="left"/>
    </xf>
    <xf numFmtId="0" fontId="151" fillId="0" borderId="0" xfId="0" applyFont="1"/>
    <xf numFmtId="0" fontId="88" fillId="0" borderId="0" xfId="0" applyFont="1" applyAlignment="1">
      <alignment horizontal="left" wrapText="1"/>
    </xf>
    <xf numFmtId="2" fontId="55" fillId="6" borderId="22" xfId="0" applyNumberFormat="1" applyFont="1" applyFill="1" applyBorder="1" applyAlignment="1">
      <alignment vertical="center"/>
    </xf>
    <xf numFmtId="2" fontId="54" fillId="3" borderId="22" xfId="0" applyNumberFormat="1" applyFont="1" applyFill="1" applyBorder="1" applyAlignment="1">
      <alignment horizontal="right" vertical="center"/>
    </xf>
    <xf numFmtId="2" fontId="54" fillId="3" borderId="22" xfId="0" applyNumberFormat="1" applyFont="1" applyFill="1" applyBorder="1" applyAlignment="1">
      <alignment vertical="center"/>
    </xf>
    <xf numFmtId="0" fontId="153" fillId="0" borderId="0" xfId="0" applyFont="1"/>
    <xf numFmtId="0" fontId="156" fillId="0" borderId="0" xfId="0" applyFont="1"/>
    <xf numFmtId="0" fontId="153" fillId="0" borderId="0" xfId="0" applyFont="1" applyBorder="1"/>
    <xf numFmtId="0" fontId="154" fillId="0" borderId="0" xfId="0" applyFont="1" applyFill="1" applyBorder="1"/>
    <xf numFmtId="1" fontId="55" fillId="0" borderId="0" xfId="0" applyNumberFormat="1" applyFont="1"/>
    <xf numFmtId="0" fontId="5" fillId="0" borderId="0" xfId="0" applyFont="1" applyAlignment="1">
      <alignment vertical="center"/>
    </xf>
    <xf numFmtId="1" fontId="88" fillId="0" borderId="0" xfId="0" applyNumberFormat="1" applyFont="1" applyBorder="1" applyAlignment="1">
      <alignment horizontal="center" vertical="center"/>
    </xf>
    <xf numFmtId="0" fontId="158" fillId="0" borderId="0" xfId="0" applyFont="1"/>
    <xf numFmtId="0" fontId="6" fillId="2" borderId="85" xfId="6" applyFont="1" applyFill="1" applyBorder="1"/>
    <xf numFmtId="0" fontId="6" fillId="2" borderId="86" xfId="6" applyFont="1" applyFill="1" applyBorder="1"/>
    <xf numFmtId="0" fontId="6" fillId="2" borderId="87" xfId="6" applyFont="1" applyFill="1" applyBorder="1"/>
    <xf numFmtId="0" fontId="6" fillId="2" borderId="29" xfId="6" applyNumberFormat="1" applyFont="1" applyFill="1" applyBorder="1"/>
    <xf numFmtId="9" fontId="6" fillId="2" borderId="29" xfId="6" applyNumberFormat="1" applyFont="1" applyFill="1" applyBorder="1"/>
    <xf numFmtId="0" fontId="118" fillId="2" borderId="0" xfId="3" applyFont="1" applyFill="1" applyBorder="1" applyAlignment="1">
      <alignment horizontal="right" vertical="center"/>
    </xf>
    <xf numFmtId="0" fontId="6" fillId="0" borderId="95" xfId="6" applyFont="1" applyBorder="1" applyAlignment="1">
      <alignment horizontal="center"/>
    </xf>
    <xf numFmtId="0" fontId="6" fillId="0" borderId="96" xfId="6" applyFont="1" applyBorder="1" applyAlignment="1">
      <alignment horizontal="center"/>
    </xf>
    <xf numFmtId="0" fontId="6" fillId="2" borderId="97" xfId="6" applyFont="1" applyFill="1" applyBorder="1"/>
    <xf numFmtId="0" fontId="6" fillId="2" borderId="98" xfId="6" applyFont="1" applyFill="1" applyBorder="1"/>
    <xf numFmtId="9" fontId="6" fillId="0" borderId="29" xfId="6" applyNumberFormat="1" applyFont="1" applyFill="1" applyBorder="1"/>
    <xf numFmtId="0" fontId="157" fillId="0" borderId="0" xfId="0" applyFont="1"/>
    <xf numFmtId="0" fontId="153" fillId="0" borderId="0" xfId="0" applyFont="1" applyAlignment="1">
      <alignment horizontal="right"/>
    </xf>
    <xf numFmtId="0" fontId="153" fillId="0" borderId="0" xfId="0" applyFont="1" applyAlignment="1">
      <alignment horizontal="right" vertical="center"/>
    </xf>
    <xf numFmtId="0" fontId="153" fillId="0" borderId="0" xfId="0" applyFont="1" applyAlignment="1">
      <alignment vertical="center"/>
    </xf>
    <xf numFmtId="9" fontId="88" fillId="0" borderId="0" xfId="0" applyNumberFormat="1" applyFont="1" applyAlignment="1">
      <alignment horizontal="right"/>
    </xf>
    <xf numFmtId="0" fontId="159" fillId="0" borderId="0" xfId="0" applyFont="1" applyBorder="1"/>
    <xf numFmtId="2" fontId="0" fillId="0" borderId="0" xfId="0" applyNumberFormat="1" applyFill="1" applyAlignment="1">
      <alignment vertical="center"/>
    </xf>
    <xf numFmtId="0" fontId="83" fillId="0" borderId="0" xfId="0" applyFont="1" applyAlignment="1">
      <alignment vertical="center"/>
    </xf>
    <xf numFmtId="0" fontId="161" fillId="0" borderId="0" xfId="0" applyFont="1"/>
    <xf numFmtId="0" fontId="153" fillId="0" borderId="0" xfId="0" applyFont="1" applyAlignment="1"/>
    <xf numFmtId="0" fontId="153" fillId="0" borderId="0" xfId="2" applyFont="1"/>
    <xf numFmtId="0" fontId="153" fillId="0" borderId="0" xfId="2" applyFont="1" applyFill="1" applyBorder="1" applyAlignment="1">
      <alignment horizontal="center"/>
    </xf>
    <xf numFmtId="0" fontId="153" fillId="0" borderId="0" xfId="2" applyFont="1" applyBorder="1" applyAlignment="1">
      <alignment horizontal="center"/>
    </xf>
    <xf numFmtId="9" fontId="126" fillId="2" borderId="15" xfId="0" applyNumberFormat="1" applyFont="1" applyFill="1" applyBorder="1" applyAlignment="1">
      <alignment horizontal="center" vertical="center"/>
    </xf>
    <xf numFmtId="0" fontId="44" fillId="4" borderId="15" xfId="0" applyFont="1" applyFill="1" applyBorder="1" applyAlignment="1">
      <alignment horizontal="center" vertical="center"/>
    </xf>
    <xf numFmtId="0" fontId="55" fillId="0" borderId="15" xfId="0" applyFont="1" applyFill="1" applyBorder="1" applyAlignment="1">
      <alignment horizontal="left" vertical="center"/>
    </xf>
    <xf numFmtId="0" fontId="55" fillId="0" borderId="19" xfId="0" applyFont="1" applyFill="1" applyBorder="1" applyAlignment="1">
      <alignment horizontal="left" vertical="center"/>
    </xf>
    <xf numFmtId="0" fontId="162" fillId="0" borderId="0" xfId="0" applyFont="1" applyAlignment="1">
      <alignment vertical="center"/>
    </xf>
    <xf numFmtId="0" fontId="164" fillId="0" borderId="0" xfId="2" applyFont="1" applyAlignment="1">
      <alignment horizontal="center" vertical="center"/>
    </xf>
    <xf numFmtId="0" fontId="59" fillId="4" borderId="25" xfId="0" applyFont="1" applyFill="1" applyBorder="1" applyAlignment="1">
      <alignment horizontal="center" vertical="center"/>
    </xf>
    <xf numFmtId="0" fontId="87" fillId="0" borderId="0" xfId="0" applyFont="1" applyAlignment="1">
      <alignment horizontal="left" vertical="center"/>
    </xf>
    <xf numFmtId="0" fontId="85" fillId="0" borderId="0" xfId="0" applyFont="1" applyAlignment="1">
      <alignment horizontal="left" vertical="center"/>
    </xf>
    <xf numFmtId="0" fontId="65" fillId="0" borderId="0" xfId="0" applyFont="1" applyFill="1" applyBorder="1" applyAlignment="1">
      <alignment horizontal="left"/>
    </xf>
    <xf numFmtId="0" fontId="165" fillId="0" borderId="0" xfId="0" applyFont="1"/>
    <xf numFmtId="0" fontId="54" fillId="6" borderId="14" xfId="0" applyNumberFormat="1" applyFont="1" applyFill="1" applyBorder="1" applyAlignment="1">
      <alignment horizontal="center" vertical="center"/>
    </xf>
    <xf numFmtId="168" fontId="76" fillId="0" borderId="0" xfId="0" applyNumberFormat="1" applyFont="1" applyAlignment="1">
      <alignment vertical="center"/>
    </xf>
    <xf numFmtId="167" fontId="118" fillId="0" borderId="0" xfId="0" applyNumberFormat="1" applyFont="1" applyAlignment="1">
      <alignment vertical="center"/>
    </xf>
    <xf numFmtId="0" fontId="54" fillId="0" borderId="0" xfId="0" applyFont="1" applyFill="1" applyBorder="1" applyAlignment="1">
      <alignment horizontal="center" vertical="center"/>
    </xf>
    <xf numFmtId="0" fontId="155" fillId="0" borderId="0" xfId="0" applyFont="1"/>
    <xf numFmtId="0" fontId="155" fillId="0" borderId="14" xfId="0" applyFont="1" applyBorder="1"/>
    <xf numFmtId="0" fontId="144" fillId="0" borderId="0" xfId="0" applyFont="1"/>
    <xf numFmtId="0" fontId="166" fillId="0" borderId="0" xfId="0" applyFont="1"/>
    <xf numFmtId="0" fontId="17" fillId="0" borderId="0" xfId="0" applyFont="1" applyFill="1" applyAlignment="1">
      <alignment vertical="center"/>
    </xf>
    <xf numFmtId="0" fontId="17" fillId="0" borderId="0" xfId="0" applyFont="1" applyFill="1" applyAlignment="1">
      <alignment horizontal="right" vertical="center"/>
    </xf>
    <xf numFmtId="0" fontId="76" fillId="0" borderId="0" xfId="0" applyFont="1" applyFill="1"/>
    <xf numFmtId="0" fontId="76" fillId="0" borderId="0" xfId="0" applyFont="1" applyFill="1" applyAlignment="1">
      <alignment horizontal="left" vertical="center"/>
    </xf>
    <xf numFmtId="0" fontId="167" fillId="0" borderId="0" xfId="0" applyFont="1" applyFill="1"/>
    <xf numFmtId="0" fontId="76" fillId="0" borderId="0" xfId="0" applyFont="1" applyAlignment="1">
      <alignment wrapText="1"/>
    </xf>
    <xf numFmtId="9" fontId="138" fillId="11" borderId="0" xfId="0" applyNumberFormat="1" applyFont="1" applyFill="1" applyAlignment="1">
      <alignment horizontal="left"/>
    </xf>
    <xf numFmtId="0" fontId="168" fillId="0" borderId="0" xfId="0" applyFont="1" applyBorder="1"/>
    <xf numFmtId="0" fontId="170" fillId="0" borderId="0" xfId="0" applyFont="1"/>
    <xf numFmtId="0" fontId="172" fillId="0" borderId="0" xfId="0" applyFont="1" applyAlignment="1">
      <alignment vertical="center"/>
    </xf>
    <xf numFmtId="0" fontId="171" fillId="0" borderId="0" xfId="0" applyFont="1" applyAlignment="1">
      <alignment vertical="center"/>
    </xf>
    <xf numFmtId="0" fontId="173" fillId="0" borderId="0" xfId="0" applyFont="1" applyAlignment="1">
      <alignment vertical="center"/>
    </xf>
    <xf numFmtId="0" fontId="174" fillId="0" borderId="0" xfId="0" applyFont="1" applyAlignment="1">
      <alignment vertical="center"/>
    </xf>
    <xf numFmtId="0" fontId="175" fillId="0" borderId="0" xfId="0" applyFont="1" applyAlignment="1">
      <alignment vertical="center"/>
    </xf>
    <xf numFmtId="6" fontId="153" fillId="0" borderId="0" xfId="0" applyNumberFormat="1" applyFont="1" applyAlignment="1">
      <alignment horizontal="right" vertical="center"/>
    </xf>
    <xf numFmtId="3" fontId="88" fillId="0" borderId="0" xfId="0" applyNumberFormat="1" applyFont="1"/>
    <xf numFmtId="0" fontId="169" fillId="0" borderId="0" xfId="0" applyFont="1" applyFill="1" applyBorder="1" applyAlignment="1">
      <alignment horizontal="right" vertical="center" wrapText="1"/>
    </xf>
    <xf numFmtId="0" fontId="176" fillId="0" borderId="0" xfId="0" applyFont="1" applyAlignment="1">
      <alignment vertical="center"/>
    </xf>
    <xf numFmtId="0" fontId="177" fillId="0" borderId="0" xfId="0" applyFont="1"/>
    <xf numFmtId="0" fontId="55" fillId="6" borderId="14" xfId="0" applyFont="1" applyFill="1" applyBorder="1" applyAlignment="1">
      <alignment horizontal="left"/>
    </xf>
    <xf numFmtId="0" fontId="154" fillId="0" borderId="0" xfId="0" applyFont="1" applyFill="1" applyBorder="1" applyAlignment="1">
      <alignment horizontal="center" vertical="center"/>
    </xf>
    <xf numFmtId="0" fontId="153" fillId="0" borderId="0" xfId="0" applyFont="1" applyFill="1" applyBorder="1" applyAlignment="1">
      <alignment horizontal="center" vertical="center"/>
    </xf>
    <xf numFmtId="0" fontId="59" fillId="5" borderId="0" xfId="0" applyNumberFormat="1" applyFont="1" applyFill="1" applyBorder="1"/>
    <xf numFmtId="0" fontId="59" fillId="5" borderId="0" xfId="0" applyFont="1" applyFill="1" applyBorder="1"/>
    <xf numFmtId="0" fontId="152" fillId="0" borderId="0" xfId="3" applyFont="1"/>
    <xf numFmtId="0" fontId="155" fillId="0" borderId="0" xfId="3" applyFont="1"/>
    <xf numFmtId="0" fontId="118" fillId="0" borderId="0" xfId="3" applyFont="1" applyFill="1" applyBorder="1" applyAlignment="1">
      <alignment horizontal="right" vertical="center"/>
    </xf>
    <xf numFmtId="0" fontId="6" fillId="0" borderId="97" xfId="6" applyFont="1" applyFill="1" applyBorder="1"/>
    <xf numFmtId="0" fontId="6" fillId="0" borderId="86" xfId="6" applyFont="1" applyFill="1" applyBorder="1"/>
    <xf numFmtId="0" fontId="6" fillId="0" borderId="98" xfId="6" applyFont="1" applyFill="1" applyBorder="1"/>
    <xf numFmtId="0" fontId="118" fillId="0" borderId="0" xfId="6" applyFont="1" applyFill="1" applyBorder="1"/>
    <xf numFmtId="0" fontId="6" fillId="0" borderId="85" xfId="6" applyFont="1" applyFill="1" applyBorder="1"/>
    <xf numFmtId="0" fontId="6" fillId="0" borderId="87" xfId="6" applyFont="1" applyFill="1" applyBorder="1"/>
    <xf numFmtId="0" fontId="6" fillId="0" borderId="29" xfId="6" applyNumberFormat="1" applyFont="1" applyFill="1" applyBorder="1"/>
    <xf numFmtId="0" fontId="59" fillId="4" borderId="38" xfId="0" applyFont="1" applyFill="1" applyBorder="1" applyAlignment="1">
      <alignment horizontal="center" vertical="center"/>
    </xf>
    <xf numFmtId="0" fontId="12" fillId="0" borderId="0" xfId="0" applyFont="1"/>
    <xf numFmtId="1" fontId="59" fillId="4" borderId="14" xfId="0" applyNumberFormat="1" applyFont="1" applyFill="1" applyBorder="1" applyAlignment="1">
      <alignment horizontal="center" vertical="center"/>
    </xf>
    <xf numFmtId="0" fontId="55" fillId="6" borderId="14" xfId="10" applyFont="1" applyFill="1" applyBorder="1" applyAlignment="1">
      <alignment horizontal="right" vertical="center"/>
    </xf>
    <xf numFmtId="0" fontId="178" fillId="6" borderId="14" xfId="0" applyFont="1" applyFill="1" applyBorder="1"/>
    <xf numFmtId="0" fontId="178" fillId="6" borderId="14" xfId="0" applyFont="1" applyFill="1" applyBorder="1" applyAlignment="1">
      <alignment horizontal="right"/>
    </xf>
    <xf numFmtId="0" fontId="114" fillId="4" borderId="14" xfId="0" applyFont="1" applyFill="1" applyBorder="1"/>
    <xf numFmtId="0" fontId="40" fillId="6" borderId="14" xfId="0" applyFont="1" applyFill="1" applyBorder="1" applyAlignment="1">
      <alignment horizontal="center" wrapText="1"/>
    </xf>
    <xf numFmtId="0" fontId="40" fillId="6" borderId="15" xfId="0" applyFont="1" applyFill="1" applyBorder="1" applyAlignment="1">
      <alignment horizontal="center" wrapText="1"/>
    </xf>
    <xf numFmtId="0" fontId="85" fillId="0" borderId="27" xfId="0" applyFont="1" applyFill="1" applyBorder="1" applyAlignment="1">
      <alignment vertical="center" wrapText="1"/>
    </xf>
    <xf numFmtId="0" fontId="156" fillId="0" borderId="0" xfId="2" applyFont="1" applyAlignment="1">
      <alignment horizontal="center"/>
    </xf>
    <xf numFmtId="0" fontId="153" fillId="0" borderId="0" xfId="2" applyFont="1" applyAlignment="1">
      <alignment horizontal="center"/>
    </xf>
    <xf numFmtId="0" fontId="156" fillId="0" borderId="0" xfId="2" applyFont="1" applyBorder="1" applyAlignment="1">
      <alignment horizontal="center"/>
    </xf>
    <xf numFmtId="0" fontId="179" fillId="0" borderId="0" xfId="0" applyFont="1" applyBorder="1" applyAlignment="1">
      <alignment horizontal="center" vertical="center"/>
    </xf>
    <xf numFmtId="0" fontId="180" fillId="0" borderId="0" xfId="0" applyFont="1" applyBorder="1"/>
    <xf numFmtId="0" fontId="181" fillId="0" borderId="0" xfId="0" applyFont="1" applyBorder="1" applyAlignment="1">
      <alignment horizontal="right" vertical="center"/>
    </xf>
    <xf numFmtId="0" fontId="0" fillId="0" borderId="49" xfId="0" applyBorder="1"/>
    <xf numFmtId="0" fontId="0" fillId="0" borderId="106" xfId="0" applyBorder="1"/>
    <xf numFmtId="0" fontId="181" fillId="0" borderId="47" xfId="0" applyFont="1" applyBorder="1" applyAlignment="1">
      <alignment horizontal="right" vertical="center"/>
    </xf>
    <xf numFmtId="0" fontId="141" fillId="0" borderId="47" xfId="0" applyFont="1" applyBorder="1" applyAlignment="1">
      <alignment horizontal="right" vertical="center"/>
    </xf>
    <xf numFmtId="10" fontId="149" fillId="0" borderId="47" xfId="0" applyNumberFormat="1" applyFont="1" applyBorder="1" applyAlignment="1">
      <alignment horizontal="center"/>
    </xf>
    <xf numFmtId="0" fontId="148" fillId="0" borderId="0" xfId="0" applyFont="1" applyAlignment="1">
      <alignment horizontal="left" wrapText="1"/>
    </xf>
    <xf numFmtId="0" fontId="141" fillId="0" borderId="0" xfId="0" applyFont="1" applyBorder="1" applyAlignment="1">
      <alignment horizontal="right" vertical="center"/>
    </xf>
    <xf numFmtId="10" fontId="160" fillId="0" borderId="0" xfId="0" applyNumberFormat="1" applyFont="1" applyBorder="1" applyAlignment="1">
      <alignment horizontal="center"/>
    </xf>
    <xf numFmtId="0" fontId="40" fillId="6" borderId="14" xfId="0" applyFont="1" applyFill="1" applyBorder="1" applyAlignment="1">
      <alignment horizontal="center" vertical="center"/>
    </xf>
    <xf numFmtId="0" fontId="54" fillId="3" borderId="0" xfId="0" applyFont="1" applyFill="1" applyBorder="1" applyAlignment="1">
      <alignment horizontal="right" wrapText="1"/>
    </xf>
    <xf numFmtId="0" fontId="54" fillId="3" borderId="0" xfId="0" applyNumberFormat="1" applyFont="1" applyFill="1" applyBorder="1" applyAlignment="1">
      <alignment horizontal="right" vertical="center" wrapText="1"/>
    </xf>
    <xf numFmtId="164" fontId="54" fillId="3" borderId="0" xfId="0" applyNumberFormat="1" applyFont="1" applyFill="1" applyBorder="1" applyAlignment="1">
      <alignment horizontal="right" vertical="center" wrapText="1"/>
    </xf>
    <xf numFmtId="0" fontId="54" fillId="0" borderId="0" xfId="0" applyNumberFormat="1" applyFont="1" applyFill="1" applyBorder="1" applyAlignment="1">
      <alignment horizontal="right" vertical="center" wrapText="1"/>
    </xf>
    <xf numFmtId="164" fontId="54" fillId="4" borderId="0" xfId="0" applyNumberFormat="1" applyFont="1" applyFill="1" applyBorder="1" applyAlignment="1">
      <alignment horizontal="right" vertical="center" wrapText="1"/>
    </xf>
    <xf numFmtId="0" fontId="54" fillId="4" borderId="0" xfId="0" applyNumberFormat="1" applyFont="1" applyFill="1" applyBorder="1" applyAlignment="1">
      <alignment horizontal="right" vertical="center" wrapText="1"/>
    </xf>
    <xf numFmtId="0" fontId="41" fillId="0" borderId="0" xfId="0" applyNumberFormat="1" applyFont="1" applyFill="1" applyBorder="1" applyAlignment="1">
      <alignment horizontal="right" vertical="center" wrapText="1"/>
    </xf>
    <xf numFmtId="0" fontId="54" fillId="2" borderId="100" xfId="3" applyFont="1" applyFill="1" applyBorder="1" applyAlignment="1">
      <alignment horizontal="center" vertical="center"/>
    </xf>
    <xf numFmtId="49" fontId="153" fillId="0" borderId="0" xfId="0" applyNumberFormat="1" applyFont="1" applyBorder="1" applyAlignment="1">
      <alignment horizontal="left" wrapText="1"/>
    </xf>
    <xf numFmtId="0" fontId="134" fillId="0" borderId="0" xfId="0" applyFont="1" applyAlignment="1">
      <alignment horizontal="left" indent="1"/>
    </xf>
    <xf numFmtId="2" fontId="134" fillId="0" borderId="0" xfId="0" applyNumberFormat="1" applyFont="1"/>
    <xf numFmtId="0" fontId="55" fillId="0" borderId="1" xfId="2" applyFont="1" applyBorder="1"/>
    <xf numFmtId="0" fontId="55" fillId="0" borderId="0" xfId="2" applyFont="1"/>
    <xf numFmtId="0" fontId="78" fillId="0" borderId="0" xfId="0" applyFont="1" applyBorder="1"/>
    <xf numFmtId="0" fontId="134" fillId="0" borderId="0" xfId="0" applyNumberFormat="1" applyFont="1" applyBorder="1"/>
    <xf numFmtId="0" fontId="23" fillId="0" borderId="0" xfId="10" applyFont="1"/>
    <xf numFmtId="0" fontId="153" fillId="0" borderId="101" xfId="0" applyNumberFormat="1" applyFont="1" applyBorder="1" applyAlignment="1">
      <alignment horizontal="left"/>
    </xf>
    <xf numFmtId="1" fontId="153" fillId="11" borderId="101" xfId="0" applyNumberFormat="1" applyFont="1" applyFill="1" applyBorder="1" applyAlignment="1">
      <alignment horizontal="left"/>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7" fillId="0" borderId="0" xfId="3" applyFont="1" applyFill="1" applyBorder="1"/>
    <xf numFmtId="0" fontId="69" fillId="3" borderId="14" xfId="10" applyFont="1" applyFill="1" applyBorder="1" applyAlignment="1">
      <alignment horizontal="left" vertical="center" wrapText="1"/>
    </xf>
    <xf numFmtId="0" fontId="183" fillId="0" borderId="0" xfId="0" applyFont="1" applyAlignment="1">
      <alignment horizontal="right"/>
    </xf>
    <xf numFmtId="6" fontId="87" fillId="0" borderId="0" xfId="0" applyNumberFormat="1" applyFont="1" applyAlignment="1">
      <alignment horizontal="right"/>
    </xf>
    <xf numFmtId="0" fontId="87" fillId="0" borderId="0" xfId="0" applyFont="1" applyFill="1" applyBorder="1" applyAlignment="1">
      <alignment horizontal="center" vertical="center"/>
    </xf>
    <xf numFmtId="0" fontId="89" fillId="0" borderId="0" xfId="0" applyFont="1" applyFill="1"/>
    <xf numFmtId="0" fontId="114" fillId="3" borderId="45" xfId="0" applyFont="1" applyFill="1" applyBorder="1" applyAlignment="1">
      <alignment horizontal="center" vertical="center" wrapText="1"/>
    </xf>
    <xf numFmtId="0" fontId="184" fillId="0" borderId="0" xfId="0" applyFont="1"/>
    <xf numFmtId="0" fontId="5" fillId="0" borderId="0" xfId="0" applyFont="1" applyAlignment="1">
      <alignment horizontal="left"/>
    </xf>
    <xf numFmtId="1" fontId="27" fillId="0" borderId="0" xfId="0" applyNumberFormat="1" applyFont="1"/>
    <xf numFmtId="3" fontId="152" fillId="0" borderId="0" xfId="0" applyNumberFormat="1" applyFont="1"/>
    <xf numFmtId="9" fontId="19" fillId="0" borderId="0" xfId="3" applyNumberFormat="1" applyFont="1"/>
    <xf numFmtId="49" fontId="87" fillId="2" borderId="52" xfId="3" applyNumberFormat="1" applyFont="1" applyFill="1" applyBorder="1" applyAlignment="1">
      <alignment horizontal="center" vertical="center"/>
    </xf>
    <xf numFmtId="49" fontId="120" fillId="2" borderId="52" xfId="3" applyNumberFormat="1" applyFont="1" applyFill="1" applyBorder="1" applyAlignment="1">
      <alignment horizontal="center" vertical="center"/>
    </xf>
    <xf numFmtId="0" fontId="55" fillId="6" borderId="0" xfId="0" applyFont="1" applyFill="1" applyBorder="1" applyAlignment="1">
      <alignment horizontal="left" vertical="center"/>
    </xf>
    <xf numFmtId="49" fontId="55" fillId="0" borderId="0" xfId="0" applyNumberFormat="1" applyFont="1" applyBorder="1" applyAlignment="1">
      <alignment horizontal="left" wrapText="1"/>
    </xf>
    <xf numFmtId="0" fontId="53" fillId="0" borderId="0" xfId="3" applyFont="1" applyFill="1" applyBorder="1" applyAlignment="1">
      <alignment horizontal="left" vertical="center"/>
    </xf>
    <xf numFmtId="0" fontId="69" fillId="2" borderId="0" xfId="0" applyFont="1" applyFill="1" applyBorder="1"/>
    <xf numFmtId="49" fontId="55" fillId="2" borderId="50" xfId="3" applyNumberFormat="1" applyFont="1" applyFill="1" applyBorder="1" applyAlignment="1">
      <alignment horizontal="center" vertical="center"/>
    </xf>
    <xf numFmtId="49" fontId="55" fillId="0" borderId="50" xfId="3" applyNumberFormat="1" applyFont="1" applyBorder="1" applyAlignment="1">
      <alignment horizontal="center" vertical="center"/>
    </xf>
    <xf numFmtId="9" fontId="69" fillId="0" borderId="101" xfId="0" applyNumberFormat="1" applyFont="1" applyBorder="1"/>
    <xf numFmtId="9" fontId="63" fillId="0" borderId="0" xfId="0" applyNumberFormat="1" applyFont="1" applyAlignment="1">
      <alignment horizontal="right"/>
    </xf>
    <xf numFmtId="9" fontId="73" fillId="0" borderId="0" xfId="0" applyNumberFormat="1" applyFont="1"/>
    <xf numFmtId="0" fontId="59" fillId="4" borderId="38" xfId="0" applyFont="1" applyFill="1" applyBorder="1" applyAlignment="1">
      <alignment horizontal="center" vertical="center"/>
    </xf>
    <xf numFmtId="0" fontId="59" fillId="4" borderId="25" xfId="0" applyFont="1" applyFill="1" applyBorder="1" applyAlignment="1">
      <alignment horizontal="center" vertical="center"/>
    </xf>
    <xf numFmtId="0" fontId="55" fillId="6" borderId="14" xfId="0" applyFont="1" applyFill="1" applyBorder="1" applyAlignment="1">
      <alignment horizontal="right" vertical="center"/>
    </xf>
    <xf numFmtId="0" fontId="69" fillId="0" borderId="102" xfId="0" applyFont="1" applyBorder="1" applyAlignment="1">
      <alignment horizontal="center" vertical="center"/>
    </xf>
    <xf numFmtId="0" fontId="187" fillId="4" borderId="14" xfId="0" applyFont="1" applyFill="1" applyBorder="1" applyAlignment="1">
      <alignment horizontal="center" vertical="center" wrapText="1"/>
    </xf>
    <xf numFmtId="0" fontId="186" fillId="4" borderId="14" xfId="0" applyFont="1" applyFill="1" applyBorder="1" applyAlignment="1">
      <alignment horizontal="center" vertical="center"/>
    </xf>
    <xf numFmtId="167" fontId="187" fillId="4" borderId="14" xfId="0" applyNumberFormat="1" applyFont="1" applyFill="1" applyBorder="1" applyAlignment="1">
      <alignment horizontal="center" vertical="center"/>
    </xf>
    <xf numFmtId="42" fontId="55" fillId="6" borderId="14" xfId="0" applyNumberFormat="1" applyFont="1" applyFill="1" applyBorder="1" applyAlignment="1">
      <alignment horizontal="center" vertical="center" wrapText="1"/>
    </xf>
    <xf numFmtId="0" fontId="179" fillId="0" borderId="105" xfId="0" applyFont="1" applyBorder="1" applyAlignment="1">
      <alignment horizontal="center" vertical="center"/>
    </xf>
    <xf numFmtId="0" fontId="67" fillId="0" borderId="0" xfId="0" applyFont="1" applyAlignment="1">
      <alignment wrapText="1"/>
    </xf>
    <xf numFmtId="14" fontId="54" fillId="0" borderId="0" xfId="0" applyNumberFormat="1" applyFont="1" applyFill="1" applyBorder="1" applyAlignment="1">
      <alignment horizontal="center" vertical="center"/>
    </xf>
    <xf numFmtId="0" fontId="54" fillId="0" borderId="0" xfId="0" applyFont="1" applyFill="1" applyBorder="1" applyAlignment="1">
      <alignment horizontal="center" vertical="center"/>
    </xf>
    <xf numFmtId="9" fontId="134" fillId="0" borderId="0" xfId="13" applyFont="1"/>
    <xf numFmtId="9" fontId="40" fillId="0" borderId="0" xfId="13" applyFont="1"/>
    <xf numFmtId="0" fontId="54" fillId="0" borderId="0" xfId="0" applyFont="1" applyFill="1" applyBorder="1" applyAlignment="1">
      <alignment horizontal="left" vertical="center"/>
    </xf>
    <xf numFmtId="0" fontId="87" fillId="0" borderId="0" xfId="0" applyFont="1" applyBorder="1" applyAlignment="1">
      <alignment horizontal="right" wrapText="1"/>
    </xf>
    <xf numFmtId="9" fontId="40" fillId="0" borderId="0" xfId="13" applyFont="1" applyFill="1"/>
    <xf numFmtId="0" fontId="55" fillId="6" borderId="14" xfId="0" applyFont="1" applyFill="1" applyBorder="1" applyAlignment="1">
      <alignment horizontal="right" vertical="center"/>
    </xf>
    <xf numFmtId="167" fontId="55" fillId="6" borderId="15" xfId="0" applyNumberFormat="1" applyFont="1" applyFill="1" applyBorder="1" applyAlignment="1">
      <alignment horizontal="center" vertical="center"/>
    </xf>
    <xf numFmtId="49" fontId="100" fillId="3" borderId="42" xfId="2" applyNumberFormat="1" applyFont="1" applyFill="1" applyBorder="1" applyAlignment="1">
      <alignment horizontal="center" vertical="center" wrapText="1"/>
    </xf>
    <xf numFmtId="0" fontId="142" fillId="0" borderId="0" xfId="0" applyFont="1"/>
    <xf numFmtId="0" fontId="44" fillId="4" borderId="19" xfId="0" applyNumberFormat="1" applyFont="1" applyFill="1" applyBorder="1" applyAlignment="1">
      <alignment horizontal="center" vertical="center"/>
    </xf>
    <xf numFmtId="9" fontId="55" fillId="0" borderId="0" xfId="13" applyFont="1"/>
    <xf numFmtId="0" fontId="55" fillId="0" borderId="0" xfId="0" applyFont="1" applyAlignment="1">
      <alignment horizontal="left"/>
    </xf>
    <xf numFmtId="9" fontId="55" fillId="0" borderId="0" xfId="13" applyFont="1" applyAlignment="1">
      <alignment horizontal="left"/>
    </xf>
    <xf numFmtId="2" fontId="156" fillId="0" borderId="0" xfId="0" applyNumberFormat="1" applyFont="1" applyAlignment="1">
      <alignment vertical="center"/>
    </xf>
    <xf numFmtId="165" fontId="0" fillId="0" borderId="0" xfId="13" applyNumberFormat="1" applyFont="1"/>
    <xf numFmtId="9" fontId="23" fillId="0" borderId="0" xfId="13" applyFont="1" applyFill="1"/>
    <xf numFmtId="9" fontId="38" fillId="0" borderId="0" xfId="13" applyFont="1"/>
    <xf numFmtId="9" fontId="12" fillId="0" borderId="0" xfId="13" applyFont="1" applyFill="1" applyAlignment="1">
      <alignment vertical="center"/>
    </xf>
    <xf numFmtId="10" fontId="38" fillId="0" borderId="0" xfId="13" applyNumberFormat="1" applyFont="1"/>
    <xf numFmtId="9" fontId="23" fillId="0" borderId="0" xfId="13" applyFont="1"/>
    <xf numFmtId="0" fontId="190" fillId="0" borderId="0" xfId="0" applyFont="1"/>
    <xf numFmtId="0" fontId="190" fillId="0" borderId="0" xfId="0" applyFont="1" applyAlignment="1">
      <alignment vertical="center"/>
    </xf>
    <xf numFmtId="1" fontId="190" fillId="0" borderId="0" xfId="0" applyNumberFormat="1" applyFont="1" applyAlignment="1">
      <alignment vertical="center"/>
    </xf>
    <xf numFmtId="9" fontId="190" fillId="0" borderId="0" xfId="0" applyNumberFormat="1" applyFont="1" applyAlignment="1">
      <alignment vertical="center"/>
    </xf>
    <xf numFmtId="0" fontId="53" fillId="0" borderId="0" xfId="0" applyFont="1" applyFill="1" applyBorder="1" applyAlignment="1">
      <alignment horizontal="center" vertical="center"/>
    </xf>
    <xf numFmtId="9" fontId="59" fillId="0" borderId="0" xfId="0" applyNumberFormat="1" applyFont="1" applyFill="1" applyBorder="1" applyAlignment="1">
      <alignment horizontal="center" vertical="center"/>
    </xf>
    <xf numFmtId="0" fontId="55" fillId="0" borderId="0" xfId="0" applyFont="1" applyFill="1" applyBorder="1" applyAlignment="1">
      <alignment horizontal="right" vertical="center" wrapText="1"/>
    </xf>
    <xf numFmtId="2" fontId="55" fillId="0" borderId="0" xfId="0" applyNumberFormat="1" applyFont="1" applyFill="1" applyBorder="1" applyAlignment="1">
      <alignment vertical="center"/>
    </xf>
    <xf numFmtId="2" fontId="54" fillId="0" borderId="0" xfId="0" applyNumberFormat="1" applyFont="1" applyFill="1" applyBorder="1" applyAlignment="1">
      <alignment horizontal="right" vertical="center"/>
    </xf>
    <xf numFmtId="2" fontId="54" fillId="0" borderId="0" xfId="0" applyNumberFormat="1" applyFont="1" applyFill="1" applyBorder="1" applyAlignment="1">
      <alignment vertical="center"/>
    </xf>
    <xf numFmtId="0" fontId="163" fillId="0" borderId="0" xfId="0" applyFont="1" applyFill="1" applyBorder="1" applyAlignment="1">
      <alignment vertical="center"/>
    </xf>
    <xf numFmtId="0" fontId="78" fillId="0" borderId="0" xfId="0" applyFont="1" applyFill="1" applyBorder="1" applyAlignment="1">
      <alignment vertical="center"/>
    </xf>
    <xf numFmtId="0" fontId="191" fillId="0" borderId="0" xfId="0" applyFont="1"/>
    <xf numFmtId="9" fontId="191" fillId="0" borderId="0" xfId="13" applyFont="1"/>
    <xf numFmtId="9" fontId="113" fillId="0" borderId="0" xfId="13" applyFont="1"/>
    <xf numFmtId="0" fontId="85" fillId="0" borderId="0" xfId="2" applyFont="1" applyFill="1" applyBorder="1" applyAlignment="1">
      <alignment horizontal="center" vertical="center"/>
    </xf>
    <xf numFmtId="0" fontId="87" fillId="0" borderId="0" xfId="0" applyFont="1" applyFill="1" applyBorder="1" applyAlignment="1">
      <alignment horizontal="left" vertical="center" wrapText="1"/>
    </xf>
    <xf numFmtId="0" fontId="84" fillId="0" borderId="0" xfId="0" applyFont="1" applyFill="1" applyBorder="1" applyAlignment="1">
      <alignment horizontal="right" wrapText="1"/>
    </xf>
    <xf numFmtId="0" fontId="84" fillId="0" borderId="0" xfId="0" applyFont="1" applyFill="1" applyBorder="1" applyAlignment="1">
      <alignment horizontal="right" vertical="center" wrapText="1"/>
    </xf>
    <xf numFmtId="0" fontId="84" fillId="0" borderId="0" xfId="0" applyFont="1" applyBorder="1" applyAlignment="1">
      <alignment horizontal="center" wrapText="1"/>
    </xf>
    <xf numFmtId="0" fontId="93" fillId="0" borderId="0" xfId="3" applyFont="1" applyBorder="1"/>
    <xf numFmtId="0" fontId="87" fillId="2" borderId="6" xfId="3" applyFont="1" applyFill="1" applyBorder="1" applyAlignment="1">
      <alignment horizontal="center" vertical="center"/>
    </xf>
    <xf numFmtId="0" fontId="87" fillId="0" borderId="6" xfId="3" applyFont="1" applyFill="1" applyBorder="1" applyAlignment="1">
      <alignment horizontal="center" vertical="center"/>
    </xf>
    <xf numFmtId="0" fontId="87" fillId="6" borderId="49" xfId="0" applyFont="1" applyFill="1" applyBorder="1" applyAlignment="1">
      <alignment vertical="center" wrapText="1"/>
    </xf>
    <xf numFmtId="0" fontId="87" fillId="0" borderId="49" xfId="0" applyFont="1" applyFill="1" applyBorder="1" applyAlignment="1">
      <alignment vertical="center" wrapText="1"/>
    </xf>
    <xf numFmtId="0" fontId="87" fillId="0" borderId="49" xfId="0" applyFont="1" applyFill="1" applyBorder="1" applyAlignment="1">
      <alignment horizontal="center" vertical="center" wrapText="1"/>
    </xf>
    <xf numFmtId="0" fontId="87" fillId="0" borderId="0" xfId="0" applyFont="1" applyFill="1" applyBorder="1" applyAlignment="1">
      <alignment horizontal="right" wrapText="1"/>
    </xf>
    <xf numFmtId="0" fontId="85" fillId="0" borderId="0" xfId="0" applyFont="1" applyFill="1" applyBorder="1" applyAlignment="1">
      <alignment horizontal="right" wrapText="1"/>
    </xf>
    <xf numFmtId="0" fontId="85" fillId="0" borderId="0" xfId="0" applyFont="1" applyBorder="1" applyAlignment="1">
      <alignment horizontal="center" wrapText="1"/>
    </xf>
    <xf numFmtId="0" fontId="85" fillId="0" borderId="0" xfId="0" applyNumberFormat="1" applyFont="1" applyFill="1" applyBorder="1" applyAlignment="1">
      <alignment horizontal="right" vertical="center" wrapText="1"/>
    </xf>
    <xf numFmtId="164" fontId="85" fillId="0" borderId="0" xfId="0" applyNumberFormat="1" applyFont="1" applyFill="1" applyBorder="1" applyAlignment="1">
      <alignment horizontal="right" vertical="center" wrapText="1"/>
    </xf>
    <xf numFmtId="0" fontId="38" fillId="0" borderId="0" xfId="0" applyFont="1" applyAlignment="1">
      <alignment horizontal="center"/>
    </xf>
    <xf numFmtId="9" fontId="38" fillId="0" borderId="0" xfId="13" applyFont="1" applyAlignment="1">
      <alignment horizontal="left"/>
    </xf>
    <xf numFmtId="0" fontId="67" fillId="0" borderId="0" xfId="0" applyFont="1" applyBorder="1" applyAlignment="1">
      <alignment horizontal="center"/>
    </xf>
    <xf numFmtId="0" fontId="88" fillId="0" borderId="0" xfId="0" applyFont="1" applyBorder="1" applyAlignment="1">
      <alignment horizontal="center"/>
    </xf>
    <xf numFmtId="0" fontId="67" fillId="0" borderId="0" xfId="0" applyFont="1" applyBorder="1" applyAlignment="1">
      <alignment horizontal="centerContinuous"/>
    </xf>
    <xf numFmtId="0" fontId="188" fillId="0" borderId="0" xfId="15" applyFont="1"/>
    <xf numFmtId="166" fontId="0" fillId="0" borderId="0" xfId="0" applyNumberFormat="1" applyAlignment="1">
      <alignment horizontal="centerContinuous"/>
    </xf>
    <xf numFmtId="0" fontId="0" fillId="0" borderId="0" xfId="0" applyAlignment="1">
      <alignment horizontal="centerContinuous"/>
    </xf>
    <xf numFmtId="0" fontId="74" fillId="0" borderId="0" xfId="0" applyFont="1" applyBorder="1" applyAlignment="1">
      <alignment horizontal="left"/>
    </xf>
    <xf numFmtId="0" fontId="0" fillId="0" borderId="0" xfId="15" applyFont="1"/>
    <xf numFmtId="0" fontId="67" fillId="0" borderId="0" xfId="0" applyFont="1" applyBorder="1" applyAlignment="1">
      <alignment horizontal="left"/>
    </xf>
    <xf numFmtId="9" fontId="129" fillId="12" borderId="118" xfId="13" applyFont="1" applyFill="1" applyBorder="1" applyAlignment="1">
      <alignment horizontal="center" wrapText="1"/>
    </xf>
    <xf numFmtId="0" fontId="129" fillId="10" borderId="0" xfId="0" applyFont="1" applyFill="1" applyAlignment="1">
      <alignment horizontal="center" vertical="center"/>
    </xf>
    <xf numFmtId="0" fontId="74" fillId="0" borderId="119" xfId="0" applyFont="1" applyBorder="1"/>
    <xf numFmtId="0" fontId="0" fillId="0" borderId="120" xfId="0" applyBorder="1"/>
    <xf numFmtId="0" fontId="0" fillId="0" borderId="121" xfId="0" applyBorder="1"/>
    <xf numFmtId="0" fontId="0" fillId="0" borderId="122" xfId="0" applyBorder="1"/>
    <xf numFmtId="0" fontId="0" fillId="0" borderId="123" xfId="0" applyBorder="1"/>
    <xf numFmtId="0" fontId="54" fillId="0" borderId="122" xfId="3" applyFont="1" applyFill="1" applyBorder="1" applyAlignment="1">
      <alignment horizontal="left" vertical="center"/>
    </xf>
    <xf numFmtId="0" fontId="156" fillId="0" borderId="0" xfId="0" applyFont="1" applyBorder="1"/>
    <xf numFmtId="0" fontId="46" fillId="0" borderId="122" xfId="3" applyFont="1" applyFill="1" applyBorder="1" applyAlignment="1">
      <alignment horizontal="left" vertical="center"/>
    </xf>
    <xf numFmtId="9" fontId="71" fillId="0" borderId="0" xfId="0" applyNumberFormat="1" applyFont="1" applyBorder="1" applyAlignment="1">
      <alignment horizontal="center"/>
    </xf>
    <xf numFmtId="0" fontId="0" fillId="0" borderId="122" xfId="0" applyBorder="1" applyAlignment="1">
      <alignment vertical="center"/>
    </xf>
    <xf numFmtId="0" fontId="0" fillId="0" borderId="0" xfId="0" applyBorder="1" applyAlignment="1">
      <alignment vertical="center"/>
    </xf>
    <xf numFmtId="0" fontId="67" fillId="0" borderId="0" xfId="0" applyFont="1" applyBorder="1" applyAlignment="1">
      <alignment vertical="center"/>
    </xf>
    <xf numFmtId="0" fontId="67" fillId="0" borderId="0" xfId="0" applyFont="1" applyBorder="1" applyAlignment="1">
      <alignment horizontal="center" vertical="center"/>
    </xf>
    <xf numFmtId="0" fontId="0" fillId="0" borderId="122" xfId="0" applyFill="1" applyBorder="1" applyAlignment="1">
      <alignment vertical="center"/>
    </xf>
    <xf numFmtId="0" fontId="50" fillId="4" borderId="0" xfId="0" applyFont="1" applyFill="1" applyBorder="1" applyAlignment="1">
      <alignment horizontal="right" vertical="center"/>
    </xf>
    <xf numFmtId="0" fontId="67" fillId="0" borderId="0" xfId="0" applyFont="1" applyBorder="1" applyAlignment="1">
      <alignment horizontal="right" vertical="center"/>
    </xf>
    <xf numFmtId="0" fontId="67" fillId="0" borderId="0" xfId="0" applyFont="1" applyBorder="1" applyAlignment="1">
      <alignment horizontal="right"/>
    </xf>
    <xf numFmtId="0" fontId="134" fillId="0" borderId="0" xfId="0" applyFont="1" applyFill="1" applyBorder="1" applyAlignment="1">
      <alignment horizontal="left"/>
    </xf>
    <xf numFmtId="0" fontId="38" fillId="0" borderId="122" xfId="0" applyFont="1" applyBorder="1" applyAlignment="1">
      <alignment horizontal="left" wrapText="1"/>
    </xf>
    <xf numFmtId="0" fontId="27" fillId="0" borderId="122" xfId="0" applyFont="1" applyBorder="1"/>
    <xf numFmtId="9" fontId="27" fillId="0" borderId="0" xfId="0" applyNumberFormat="1" applyFont="1" applyBorder="1" applyAlignment="1">
      <alignment horizontal="left"/>
    </xf>
    <xf numFmtId="49" fontId="27" fillId="0" borderId="0" xfId="0" applyNumberFormat="1" applyFont="1" applyBorder="1" applyAlignment="1">
      <alignment horizontal="right"/>
    </xf>
    <xf numFmtId="0" fontId="185" fillId="0" borderId="0" xfId="0" applyFont="1" applyBorder="1"/>
    <xf numFmtId="0" fontId="134" fillId="0" borderId="0" xfId="0" applyFont="1" applyFill="1" applyBorder="1" applyAlignment="1"/>
    <xf numFmtId="0" fontId="89" fillId="0" borderId="0" xfId="0" applyFont="1" applyBorder="1"/>
    <xf numFmtId="49" fontId="27" fillId="0" borderId="122" xfId="0" applyNumberFormat="1" applyFont="1" applyBorder="1"/>
    <xf numFmtId="0" fontId="0" fillId="0" borderId="0" xfId="0" applyBorder="1" applyAlignment="1">
      <alignment wrapText="1"/>
    </xf>
    <xf numFmtId="0" fontId="0" fillId="0" borderId="124" xfId="0" applyBorder="1"/>
    <xf numFmtId="0" fontId="0" fillId="0" borderId="125" xfId="0" applyBorder="1"/>
    <xf numFmtId="0" fontId="0" fillId="0" borderId="126" xfId="0" applyBorder="1"/>
    <xf numFmtId="0" fontId="53" fillId="6" borderId="0" xfId="0" applyFont="1" applyFill="1" applyBorder="1" applyAlignment="1">
      <alignment horizontal="center" vertical="center"/>
    </xf>
    <xf numFmtId="0" fontId="88" fillId="0" borderId="122" xfId="0" applyFont="1" applyBorder="1" applyAlignment="1">
      <alignment horizontal="center"/>
    </xf>
    <xf numFmtId="0" fontId="134" fillId="0" borderId="0" xfId="0" applyFont="1" applyFill="1" applyBorder="1" applyAlignment="1">
      <alignment horizontal="center"/>
    </xf>
    <xf numFmtId="0" fontId="59" fillId="4" borderId="0" xfId="0" applyFont="1" applyFill="1" applyBorder="1" applyAlignment="1">
      <alignment horizontal="centerContinuous" vertical="center"/>
    </xf>
    <xf numFmtId="0" fontId="53" fillId="3" borderId="0" xfId="0" applyFont="1" applyFill="1" applyBorder="1" applyAlignment="1">
      <alignment horizontal="centerContinuous" vertical="center"/>
    </xf>
    <xf numFmtId="0" fontId="15" fillId="3" borderId="6" xfId="3" applyFont="1" applyFill="1" applyBorder="1" applyAlignment="1">
      <alignment horizontal="center" vertical="center"/>
    </xf>
    <xf numFmtId="0" fontId="15" fillId="3" borderId="50" xfId="3" applyFont="1" applyFill="1" applyBorder="1" applyAlignment="1">
      <alignment horizontal="center" vertical="center"/>
    </xf>
    <xf numFmtId="0" fontId="15" fillId="3" borderId="30" xfId="3" applyFont="1" applyFill="1" applyBorder="1" applyAlignment="1">
      <alignment horizontal="centerContinuous" vertical="center"/>
    </xf>
    <xf numFmtId="0" fontId="87" fillId="0" borderId="128" xfId="3" applyFont="1" applyFill="1" applyBorder="1" applyAlignment="1">
      <alignment horizontal="center" vertical="center"/>
    </xf>
    <xf numFmtId="0" fontId="87" fillId="2" borderId="128" xfId="3" applyFont="1" applyFill="1" applyBorder="1" applyAlignment="1">
      <alignment horizontal="center" vertical="center"/>
    </xf>
    <xf numFmtId="0" fontId="15" fillId="3" borderId="128" xfId="3" applyFont="1" applyFill="1" applyBorder="1" applyAlignment="1">
      <alignment horizontal="center" vertical="center"/>
    </xf>
    <xf numFmtId="0" fontId="15" fillId="3" borderId="129" xfId="3" applyFont="1" applyFill="1" applyBorder="1" applyAlignment="1">
      <alignment horizontal="center" vertical="center"/>
    </xf>
    <xf numFmtId="0" fontId="15" fillId="3" borderId="130" xfId="3" applyFont="1" applyFill="1" applyBorder="1" applyAlignment="1">
      <alignment horizontal="center" vertical="center"/>
    </xf>
    <xf numFmtId="0" fontId="87" fillId="0" borderId="129" xfId="3" applyFont="1" applyFill="1" applyBorder="1" applyAlignment="1">
      <alignment horizontal="center" vertical="center"/>
    </xf>
    <xf numFmtId="0" fontId="87" fillId="0" borderId="130" xfId="3" applyFont="1" applyFill="1" applyBorder="1" applyAlignment="1">
      <alignment horizontal="center" vertical="center"/>
    </xf>
    <xf numFmtId="0" fontId="87" fillId="2" borderId="129" xfId="3" applyFont="1" applyFill="1" applyBorder="1" applyAlignment="1">
      <alignment horizontal="center" vertical="center"/>
    </xf>
    <xf numFmtId="0" fontId="87" fillId="2" borderId="130" xfId="3" applyFont="1" applyFill="1" applyBorder="1" applyAlignment="1">
      <alignment horizontal="center" vertical="center"/>
    </xf>
    <xf numFmtId="165" fontId="67" fillId="0" borderId="0" xfId="13" applyNumberFormat="1" applyFont="1"/>
    <xf numFmtId="14" fontId="53" fillId="0" borderId="131" xfId="0" applyNumberFormat="1" applyFont="1" applyBorder="1" applyAlignment="1">
      <alignment horizontal="center"/>
    </xf>
    <xf numFmtId="0" fontId="55" fillId="6" borderId="0" xfId="0" applyFont="1" applyFill="1" applyBorder="1" applyAlignment="1">
      <alignment vertical="center"/>
    </xf>
    <xf numFmtId="0" fontId="40" fillId="6" borderId="14" xfId="0" applyFont="1" applyFill="1" applyBorder="1" applyAlignment="1">
      <alignment vertical="center" wrapText="1"/>
    </xf>
    <xf numFmtId="0" fontId="55" fillId="6" borderId="15" xfId="0" applyFont="1" applyFill="1" applyBorder="1" applyAlignment="1"/>
    <xf numFmtId="0" fontId="55" fillId="6" borderId="15" xfId="0" applyFont="1" applyFill="1" applyBorder="1" applyAlignment="1">
      <alignment vertical="center"/>
    </xf>
    <xf numFmtId="0" fontId="53" fillId="6" borderId="15" xfId="0" applyFont="1" applyFill="1" applyBorder="1" applyAlignment="1"/>
    <xf numFmtId="0" fontId="67" fillId="0" borderId="0" xfId="0" applyFont="1" applyBorder="1" applyAlignment="1">
      <alignment horizontal="center"/>
    </xf>
    <xf numFmtId="14" fontId="53" fillId="0" borderId="0" xfId="0" applyNumberFormat="1" applyFont="1" applyAlignment="1">
      <alignment horizontal="centerContinuous"/>
    </xf>
    <xf numFmtId="0" fontId="193" fillId="0" borderId="0" xfId="0" applyFont="1"/>
    <xf numFmtId="0" fontId="55" fillId="0" borderId="0" xfId="0" applyFont="1" applyAlignment="1">
      <alignment horizontal="centerContinuous"/>
    </xf>
    <xf numFmtId="0" fontId="55" fillId="0" borderId="0" xfId="9" applyNumberFormat="1" applyFont="1" applyFill="1" applyBorder="1" applyAlignment="1">
      <alignment horizontal="center" vertical="center"/>
    </xf>
    <xf numFmtId="9" fontId="63" fillId="0" borderId="32" xfId="0" applyNumberFormat="1" applyFont="1" applyBorder="1" applyAlignment="1">
      <alignment horizontal="center"/>
    </xf>
    <xf numFmtId="9" fontId="63" fillId="0" borderId="33" xfId="0" applyNumberFormat="1" applyFont="1" applyBorder="1" applyAlignment="1">
      <alignment horizontal="center"/>
    </xf>
    <xf numFmtId="0" fontId="23" fillId="0" borderId="0" xfId="2" applyFont="1" applyAlignment="1">
      <alignment horizontal="right"/>
    </xf>
    <xf numFmtId="171" fontId="0" fillId="0" borderId="0" xfId="13" applyNumberFormat="1" applyFont="1" applyAlignment="1">
      <alignment vertical="center"/>
    </xf>
    <xf numFmtId="0" fontId="87" fillId="6" borderId="14" xfId="10" applyFont="1" applyFill="1" applyBorder="1" applyAlignment="1">
      <alignment horizontal="right" vertical="center"/>
    </xf>
    <xf numFmtId="9" fontId="38" fillId="0" borderId="0" xfId="13" applyNumberFormat="1" applyFont="1"/>
    <xf numFmtId="1" fontId="103" fillId="0" borderId="0" xfId="0" applyNumberFormat="1" applyFont="1"/>
    <xf numFmtId="9" fontId="103" fillId="0" borderId="0" xfId="13" applyFont="1" applyAlignment="1">
      <alignment vertical="center"/>
    </xf>
    <xf numFmtId="0" fontId="146" fillId="0" borderId="0" xfId="0" applyFont="1"/>
    <xf numFmtId="0" fontId="38" fillId="0" borderId="0" xfId="0" applyNumberFormat="1" applyFont="1"/>
    <xf numFmtId="1" fontId="38" fillId="0" borderId="0" xfId="13" applyNumberFormat="1" applyFont="1"/>
    <xf numFmtId="165" fontId="59" fillId="4" borderId="22" xfId="0" applyNumberFormat="1" applyFont="1" applyFill="1" applyBorder="1" applyAlignment="1">
      <alignment horizontal="center" vertical="center"/>
    </xf>
    <xf numFmtId="0" fontId="194" fillId="0" borderId="0" xfId="10" applyFont="1" applyFill="1" applyBorder="1" applyAlignment="1">
      <alignment horizontal="left" vertical="center"/>
    </xf>
    <xf numFmtId="49" fontId="54" fillId="0" borderId="0" xfId="10" applyNumberFormat="1" applyFont="1" applyFill="1" applyBorder="1" applyAlignment="1">
      <alignment vertical="center"/>
    </xf>
    <xf numFmtId="49" fontId="54" fillId="0" borderId="0" xfId="10" applyNumberFormat="1" applyFont="1" applyFill="1" applyBorder="1" applyAlignment="1">
      <alignment horizontal="centerContinuous" vertical="center"/>
    </xf>
    <xf numFmtId="0" fontId="195" fillId="0" borderId="0" xfId="0" applyFont="1"/>
    <xf numFmtId="49" fontId="195" fillId="0" borderId="0" xfId="0" applyNumberFormat="1" applyFont="1"/>
    <xf numFmtId="0" fontId="196" fillId="0" borderId="0" xfId="0" applyFont="1"/>
    <xf numFmtId="165" fontId="55" fillId="0" borderId="0" xfId="13" applyNumberFormat="1" applyFont="1"/>
    <xf numFmtId="14" fontId="54" fillId="0" borderId="0" xfId="0" applyNumberFormat="1" applyFont="1" applyFill="1" applyBorder="1" applyAlignment="1">
      <alignment horizontal="center" vertical="center"/>
    </xf>
    <xf numFmtId="0" fontId="54" fillId="0" borderId="0" xfId="0" applyFont="1" applyFill="1" applyBorder="1" applyAlignment="1">
      <alignment horizontal="center" vertical="center"/>
    </xf>
    <xf numFmtId="0" fontId="51" fillId="0" borderId="0" xfId="0" applyFont="1" applyFill="1" applyBorder="1" applyAlignment="1">
      <alignment horizontal="centerContinuous" vertical="center" wrapText="1"/>
    </xf>
    <xf numFmtId="0" fontId="69" fillId="13" borderId="0" xfId="0" applyFont="1" applyFill="1" applyBorder="1" applyAlignment="1">
      <alignment horizontal="right" wrapText="1"/>
    </xf>
    <xf numFmtId="0" fontId="69" fillId="13" borderId="0" xfId="0" applyFont="1" applyFill="1" applyBorder="1"/>
    <xf numFmtId="0" fontId="100" fillId="6" borderId="0" xfId="0" applyFont="1" applyFill="1" applyBorder="1" applyAlignment="1">
      <alignment horizontal="right" wrapText="1"/>
    </xf>
    <xf numFmtId="0" fontId="133" fillId="6" borderId="0" xfId="0" applyFont="1" applyFill="1" applyBorder="1" applyAlignment="1">
      <alignment horizontal="right" wrapText="1"/>
    </xf>
    <xf numFmtId="0" fontId="133" fillId="6" borderId="0" xfId="0" applyFont="1" applyFill="1" applyBorder="1" applyAlignment="1">
      <alignment horizontal="right" vertical="center" wrapText="1"/>
    </xf>
    <xf numFmtId="0" fontId="118" fillId="0" borderId="0" xfId="0" applyFont="1" applyFill="1" applyBorder="1" applyAlignment="1">
      <alignment horizontal="right" wrapText="1"/>
    </xf>
    <xf numFmtId="0" fontId="197" fillId="0" borderId="0" xfId="0" applyFont="1" applyFill="1" applyBorder="1" applyAlignment="1">
      <alignment horizontal="right" wrapText="1"/>
    </xf>
    <xf numFmtId="0" fontId="198" fillId="0" borderId="0" xfId="0" applyFont="1" applyFill="1" applyBorder="1" applyAlignment="1">
      <alignment horizontal="right" wrapText="1"/>
    </xf>
    <xf numFmtId="0" fontId="84" fillId="0" borderId="0" xfId="0" applyFont="1" applyFill="1" applyBorder="1" applyAlignment="1">
      <alignment horizontal="center" wrapText="1"/>
    </xf>
    <xf numFmtId="0" fontId="118" fillId="0" borderId="0" xfId="0" applyFont="1" applyFill="1" applyBorder="1" applyAlignment="1">
      <alignment horizontal="right"/>
    </xf>
    <xf numFmtId="0" fontId="125" fillId="0" borderId="0" xfId="0" applyFont="1" applyAlignment="1"/>
    <xf numFmtId="6" fontId="114" fillId="4" borderId="89" xfId="0" applyNumberFormat="1" applyFont="1" applyFill="1" applyBorder="1" applyAlignment="1">
      <alignment vertical="center"/>
    </xf>
    <xf numFmtId="0" fontId="69" fillId="6" borderId="14" xfId="2" applyFont="1" applyFill="1" applyBorder="1" applyAlignment="1">
      <alignment horizontal="center"/>
    </xf>
    <xf numFmtId="169" fontId="69" fillId="6" borderId="14" xfId="14" applyNumberFormat="1" applyFont="1" applyFill="1" applyBorder="1" applyAlignment="1">
      <alignment horizontal="center"/>
    </xf>
    <xf numFmtId="0" fontId="55" fillId="6" borderId="15" xfId="0" applyFont="1" applyFill="1" applyBorder="1" applyAlignment="1">
      <alignment horizontal="left" vertical="center"/>
    </xf>
    <xf numFmtId="0" fontId="55" fillId="6" borderId="15" xfId="0" applyFont="1" applyFill="1" applyBorder="1" applyAlignment="1">
      <alignment horizontal="left" vertical="center" wrapText="1"/>
    </xf>
    <xf numFmtId="0" fontId="55" fillId="6" borderId="15" xfId="0" applyFont="1" applyFill="1" applyBorder="1" applyAlignment="1">
      <alignment vertical="center" wrapText="1"/>
    </xf>
    <xf numFmtId="14" fontId="53" fillId="0" borderId="131" xfId="0" applyNumberFormat="1" applyFont="1" applyBorder="1" applyAlignment="1">
      <alignment horizontal="center"/>
    </xf>
    <xf numFmtId="0" fontId="51" fillId="0" borderId="0" xfId="0" applyFont="1" applyAlignment="1">
      <alignment horizontal="centerContinuous"/>
    </xf>
    <xf numFmtId="0" fontId="38" fillId="0" borderId="0" xfId="0" applyFont="1" applyAlignment="1">
      <alignment horizontal="centerContinuous"/>
    </xf>
    <xf numFmtId="0" fontId="47" fillId="0" borderId="17" xfId="0" applyFont="1" applyBorder="1" applyAlignment="1">
      <alignment horizontal="centerContinuous"/>
    </xf>
    <xf numFmtId="0" fontId="59" fillId="4" borderId="15" xfId="0" applyFont="1" applyFill="1" applyBorder="1" applyAlignment="1">
      <alignment horizontal="centerContinuous" vertical="center"/>
    </xf>
    <xf numFmtId="0" fontId="59" fillId="4" borderId="16" xfId="0" applyFont="1" applyFill="1" applyBorder="1" applyAlignment="1">
      <alignment horizontal="centerContinuous" vertical="center"/>
    </xf>
    <xf numFmtId="0" fontId="59" fillId="4" borderId="19" xfId="0" applyFont="1" applyFill="1" applyBorder="1" applyAlignment="1">
      <alignment horizontal="centerContinuous" vertical="center"/>
    </xf>
    <xf numFmtId="9" fontId="27" fillId="0" borderId="0" xfId="13" applyFont="1"/>
    <xf numFmtId="14" fontId="53" fillId="0" borderId="131" xfId="0" applyNumberFormat="1" applyFont="1" applyBorder="1" applyAlignment="1">
      <alignment horizontal="centerContinuous"/>
    </xf>
    <xf numFmtId="0" fontId="59" fillId="4" borderId="38" xfId="0" applyFont="1" applyFill="1" applyBorder="1" applyAlignment="1">
      <alignment horizontal="center" vertical="center"/>
    </xf>
    <xf numFmtId="0" fontId="59" fillId="4" borderId="25" xfId="0" applyFont="1" applyFill="1" applyBorder="1" applyAlignment="1">
      <alignment horizontal="center" vertical="center"/>
    </xf>
    <xf numFmtId="0" fontId="59" fillId="4" borderId="15" xfId="0" applyFont="1" applyFill="1" applyBorder="1" applyAlignment="1">
      <alignment vertical="center"/>
    </xf>
    <xf numFmtId="0" fontId="59" fillId="4" borderId="19" xfId="0" applyFont="1" applyFill="1" applyBorder="1" applyAlignment="1">
      <alignment vertical="center"/>
    </xf>
    <xf numFmtId="0" fontId="71" fillId="0" borderId="0" xfId="0" applyFont="1" applyAlignment="1"/>
    <xf numFmtId="0" fontId="59" fillId="4" borderId="25" xfId="0" applyFont="1" applyFill="1" applyBorder="1" applyAlignment="1">
      <alignment vertical="center"/>
    </xf>
    <xf numFmtId="0" fontId="71" fillId="0" borderId="0" xfId="0" applyFont="1" applyFill="1" applyAlignment="1"/>
    <xf numFmtId="0" fontId="52" fillId="0" borderId="0" xfId="0" applyFont="1" applyBorder="1" applyAlignment="1">
      <alignment vertical="center"/>
    </xf>
    <xf numFmtId="0" fontId="67" fillId="0" borderId="0" xfId="0" applyFont="1" applyAlignment="1">
      <alignment horizontal="centerContinuous"/>
    </xf>
    <xf numFmtId="0" fontId="0" fillId="0" borderId="0" xfId="0" applyFont="1" applyFill="1" applyAlignment="1">
      <alignment horizontal="centerContinuous"/>
    </xf>
    <xf numFmtId="0" fontId="113" fillId="13" borderId="0" xfId="0" applyFont="1" applyFill="1"/>
    <xf numFmtId="167" fontId="69" fillId="0" borderId="0" xfId="0" applyNumberFormat="1" applyFont="1" applyFill="1" applyBorder="1" applyAlignment="1">
      <alignment horizontal="left"/>
    </xf>
    <xf numFmtId="0" fontId="114" fillId="4" borderId="0" xfId="0" applyFont="1" applyFill="1" applyBorder="1" applyAlignment="1">
      <alignment horizontal="centerContinuous" vertical="center"/>
    </xf>
    <xf numFmtId="0" fontId="114" fillId="4" borderId="17" xfId="0" applyFont="1" applyFill="1" applyBorder="1" applyAlignment="1">
      <alignment horizontal="centerContinuous" vertical="center"/>
    </xf>
    <xf numFmtId="0" fontId="114" fillId="4" borderId="18" xfId="0" applyFont="1" applyFill="1" applyBorder="1" applyAlignment="1">
      <alignment horizontal="centerContinuous" vertical="center"/>
    </xf>
    <xf numFmtId="0" fontId="200" fillId="0" borderId="0" xfId="0" applyFont="1"/>
    <xf numFmtId="0" fontId="201" fillId="0" borderId="0" xfId="0" applyFont="1"/>
    <xf numFmtId="0" fontId="55" fillId="0" borderId="0" xfId="2" applyFont="1"/>
    <xf numFmtId="10" fontId="69" fillId="6" borderId="14" xfId="13" applyNumberFormat="1" applyFont="1" applyFill="1" applyBorder="1" applyAlignment="1">
      <alignment horizontal="center" vertical="center"/>
    </xf>
    <xf numFmtId="6" fontId="69" fillId="6" borderId="14" xfId="0" applyNumberFormat="1" applyFont="1" applyFill="1" applyBorder="1" applyAlignment="1">
      <alignment horizontal="center" vertical="center"/>
    </xf>
    <xf numFmtId="6" fontId="100" fillId="6" borderId="14" xfId="0" applyNumberFormat="1" applyFont="1" applyFill="1" applyBorder="1" applyAlignment="1">
      <alignment horizontal="center" vertical="center"/>
    </xf>
    <xf numFmtId="0" fontId="85" fillId="6" borderId="0" xfId="2" applyFont="1" applyFill="1" applyBorder="1" applyAlignment="1">
      <alignment horizontal="centerContinuous" vertical="center"/>
    </xf>
    <xf numFmtId="9" fontId="0" fillId="0" borderId="0" xfId="13" applyFont="1" applyAlignment="1">
      <alignment vertical="center"/>
    </xf>
    <xf numFmtId="49" fontId="88" fillId="0" borderId="0" xfId="0" applyNumberFormat="1" applyFont="1" applyBorder="1"/>
    <xf numFmtId="0" fontId="144" fillId="0" borderId="0" xfId="0" applyFont="1" applyAlignment="1">
      <alignment vertical="center"/>
    </xf>
    <xf numFmtId="2" fontId="54" fillId="3" borderId="31" xfId="0" applyNumberFormat="1" applyFont="1" applyFill="1" applyBorder="1" applyAlignment="1">
      <alignment horizontal="centerContinuous" vertical="center" wrapText="1"/>
    </xf>
    <xf numFmtId="2" fontId="54" fillId="3" borderId="99" xfId="0" applyNumberFormat="1" applyFont="1" applyFill="1" applyBorder="1" applyAlignment="1">
      <alignment horizontal="centerContinuous" vertical="center" wrapText="1"/>
    </xf>
    <xf numFmtId="2" fontId="54" fillId="3" borderId="51" xfId="0" applyNumberFormat="1" applyFont="1" applyFill="1" applyBorder="1" applyAlignment="1">
      <alignment horizontal="centerContinuous" vertical="center" wrapText="1"/>
    </xf>
    <xf numFmtId="49" fontId="55" fillId="0" borderId="0" xfId="0" applyNumberFormat="1" applyFont="1"/>
    <xf numFmtId="2" fontId="55" fillId="0" borderId="0" xfId="0" applyNumberFormat="1" applyFont="1"/>
    <xf numFmtId="0" fontId="80" fillId="6" borderId="14" xfId="0" applyFont="1" applyFill="1" applyBorder="1" applyAlignment="1">
      <alignment horizontal="center" vertical="center" wrapText="1"/>
    </xf>
    <xf numFmtId="14" fontId="54" fillId="0" borderId="0" xfId="0" applyNumberFormat="1" applyFont="1" applyFill="1" applyBorder="1" applyAlignment="1">
      <alignment horizontal="center" vertical="center"/>
    </xf>
    <xf numFmtId="0" fontId="54" fillId="0" borderId="0" xfId="0" applyFont="1" applyFill="1" applyBorder="1" applyAlignment="1">
      <alignment horizontal="center" vertical="center"/>
    </xf>
    <xf numFmtId="14" fontId="85" fillId="0" borderId="0" xfId="3" applyNumberFormat="1" applyFont="1" applyFill="1" applyBorder="1" applyAlignment="1">
      <alignment vertical="center"/>
    </xf>
    <xf numFmtId="0" fontId="66" fillId="0" borderId="119" xfId="0" applyFont="1" applyBorder="1"/>
    <xf numFmtId="0" fontId="40" fillId="0" borderId="120" xfId="0" applyFont="1" applyBorder="1"/>
    <xf numFmtId="0" fontId="45" fillId="0" borderId="120" xfId="3" applyFont="1" applyFill="1" applyBorder="1" applyAlignment="1">
      <alignment horizontal="left" vertical="center"/>
    </xf>
    <xf numFmtId="0" fontId="135" fillId="0" borderId="120" xfId="3" applyFont="1" applyFill="1" applyBorder="1" applyAlignment="1">
      <alignment horizontal="left" vertical="center"/>
    </xf>
    <xf numFmtId="0" fontId="14" fillId="0" borderId="122" xfId="3" applyFont="1" applyFill="1" applyBorder="1" applyAlignment="1">
      <alignment horizontal="left" vertical="center"/>
    </xf>
    <xf numFmtId="0" fontId="53" fillId="0" borderId="122" xfId="3" applyFont="1" applyFill="1" applyBorder="1" applyAlignment="1">
      <alignment horizontal="left" vertical="center"/>
    </xf>
    <xf numFmtId="0" fontId="40" fillId="0" borderId="122" xfId="0" applyFont="1" applyBorder="1"/>
    <xf numFmtId="0" fontId="41" fillId="0" borderId="0" xfId="0" applyFont="1" applyBorder="1" applyAlignment="1">
      <alignment horizontal="center"/>
    </xf>
    <xf numFmtId="0" fontId="41" fillId="0" borderId="0" xfId="0" applyFont="1" applyBorder="1"/>
    <xf numFmtId="0" fontId="40" fillId="0" borderId="122" xfId="0" applyFont="1" applyFill="1" applyBorder="1"/>
    <xf numFmtId="0" fontId="89" fillId="0" borderId="0" xfId="0" applyFont="1" applyFill="1" applyBorder="1"/>
    <xf numFmtId="0" fontId="134" fillId="0" borderId="0" xfId="0" applyFont="1" applyBorder="1" applyAlignment="1">
      <alignment horizontal="left"/>
    </xf>
    <xf numFmtId="2" fontId="134" fillId="0" borderId="0" xfId="0" applyNumberFormat="1" applyFont="1" applyBorder="1"/>
    <xf numFmtId="0" fontId="40" fillId="0" borderId="124" xfId="0" applyFont="1" applyBorder="1"/>
    <xf numFmtId="0" fontId="134" fillId="0" borderId="125" xfId="0" applyFont="1" applyBorder="1" applyAlignment="1">
      <alignment horizontal="left"/>
    </xf>
    <xf numFmtId="0" fontId="134" fillId="0" borderId="125" xfId="0" applyNumberFormat="1" applyFont="1" applyBorder="1"/>
    <xf numFmtId="2" fontId="134" fillId="0" borderId="125" xfId="0" applyNumberFormat="1" applyFont="1" applyBorder="1"/>
    <xf numFmtId="0" fontId="40" fillId="0" borderId="125" xfId="0" applyFont="1" applyBorder="1"/>
    <xf numFmtId="0" fontId="40" fillId="0" borderId="125" xfId="0" applyFont="1" applyFill="1" applyBorder="1"/>
    <xf numFmtId="2" fontId="40" fillId="0" borderId="125" xfId="0" applyNumberFormat="1" applyFont="1" applyBorder="1"/>
    <xf numFmtId="0" fontId="40" fillId="0" borderId="121" xfId="0" applyFont="1" applyBorder="1"/>
    <xf numFmtId="0" fontId="45" fillId="0" borderId="123" xfId="3" applyFont="1" applyFill="1" applyBorder="1" applyAlignment="1">
      <alignment horizontal="left" vertical="center"/>
    </xf>
    <xf numFmtId="0" fontId="14" fillId="0" borderId="123" xfId="3" applyFont="1" applyFill="1" applyBorder="1" applyAlignment="1">
      <alignment horizontal="left" vertical="center"/>
    </xf>
    <xf numFmtId="0" fontId="40" fillId="0" borderId="123" xfId="0" applyFont="1" applyBorder="1"/>
    <xf numFmtId="9" fontId="40" fillId="0" borderId="0" xfId="0" applyNumberFormat="1" applyFont="1" applyBorder="1"/>
    <xf numFmtId="9" fontId="40" fillId="0" borderId="0" xfId="0" applyNumberFormat="1" applyFont="1" applyBorder="1" applyAlignment="1">
      <alignment horizontal="left"/>
    </xf>
    <xf numFmtId="10" fontId="40" fillId="0" borderId="0" xfId="0" applyNumberFormat="1" applyFont="1" applyBorder="1" applyAlignment="1">
      <alignment horizontal="left"/>
    </xf>
    <xf numFmtId="0" fontId="40" fillId="0" borderId="0" xfId="0" applyFont="1" applyBorder="1" applyAlignment="1">
      <alignment horizontal="left"/>
    </xf>
    <xf numFmtId="0" fontId="40" fillId="0" borderId="123" xfId="0" applyFont="1" applyFill="1" applyBorder="1"/>
    <xf numFmtId="0" fontId="98" fillId="0" borderId="0" xfId="0" applyFont="1" applyBorder="1" applyAlignment="1">
      <alignment horizontal="right"/>
    </xf>
    <xf numFmtId="9" fontId="98" fillId="0" borderId="0" xfId="0" applyNumberFormat="1" applyFont="1" applyBorder="1" applyAlignment="1">
      <alignment horizontal="left"/>
    </xf>
    <xf numFmtId="0" fontId="40" fillId="0" borderId="126" xfId="0" applyFont="1" applyBorder="1"/>
    <xf numFmtId="1" fontId="0" fillId="0" borderId="0" xfId="0" applyNumberFormat="1"/>
    <xf numFmtId="0" fontId="55" fillId="0" borderId="50" xfId="3" applyNumberFormat="1" applyFont="1" applyBorder="1" applyAlignment="1">
      <alignment horizontal="center" vertical="center"/>
    </xf>
    <xf numFmtId="49" fontId="54" fillId="2" borderId="53" xfId="3" applyNumberFormat="1" applyFont="1" applyFill="1" applyBorder="1" applyAlignment="1">
      <alignment horizontal="center" vertical="center"/>
    </xf>
    <xf numFmtId="0" fontId="42" fillId="0" borderId="0" xfId="0" applyFont="1" applyAlignment="1">
      <alignment horizontal="right"/>
    </xf>
    <xf numFmtId="0" fontId="55" fillId="0" borderId="0" xfId="0" applyFont="1" applyBorder="1" applyAlignment="1">
      <alignment horizontal="left" wrapText="1"/>
    </xf>
    <xf numFmtId="172" fontId="55" fillId="0" borderId="0" xfId="13" applyNumberFormat="1" applyFont="1"/>
    <xf numFmtId="9" fontId="63" fillId="0" borderId="0" xfId="0" applyNumberFormat="1" applyFont="1" applyAlignment="1">
      <alignment horizontal="center"/>
    </xf>
    <xf numFmtId="0" fontId="49" fillId="0" borderId="3" xfId="0" applyFont="1" applyBorder="1" applyAlignment="1">
      <alignment horizontal="center" wrapText="1"/>
    </xf>
    <xf numFmtId="0" fontId="49" fillId="0" borderId="4" xfId="0" applyFont="1" applyBorder="1" applyAlignment="1">
      <alignment horizontal="center" wrapText="1"/>
    </xf>
    <xf numFmtId="0" fontId="49" fillId="0" borderId="80" xfId="0" applyFont="1" applyBorder="1" applyAlignment="1">
      <alignment horizontal="center" wrapText="1"/>
    </xf>
    <xf numFmtId="0" fontId="48" fillId="0" borderId="13" xfId="0" applyFont="1" applyBorder="1" applyAlignment="1">
      <alignment horizontal="center" wrapText="1"/>
    </xf>
    <xf numFmtId="0" fontId="49" fillId="0" borderId="84" xfId="0" applyFont="1" applyBorder="1" applyAlignment="1">
      <alignment horizontal="center" wrapText="1"/>
    </xf>
    <xf numFmtId="0" fontId="67" fillId="0" borderId="3" xfId="0" applyFont="1" applyBorder="1" applyAlignment="1">
      <alignment horizontal="center" wrapText="1"/>
    </xf>
    <xf numFmtId="0" fontId="67" fillId="0" borderId="4" xfId="0" applyFont="1" applyBorder="1" applyAlignment="1">
      <alignment horizontal="center" wrapText="1"/>
    </xf>
    <xf numFmtId="0" fontId="67" fillId="0" borderId="80" xfId="0" applyFont="1" applyBorder="1" applyAlignment="1">
      <alignment horizontal="center" wrapText="1"/>
    </xf>
    <xf numFmtId="0" fontId="47" fillId="0" borderId="13" xfId="0" applyFont="1" applyBorder="1" applyAlignment="1">
      <alignment horizontal="center" wrapText="1"/>
    </xf>
    <xf numFmtId="0" fontId="47" fillId="0" borderId="0" xfId="0" applyFont="1" applyBorder="1" applyAlignment="1">
      <alignment horizontal="center" wrapText="1"/>
    </xf>
    <xf numFmtId="0" fontId="67" fillId="0" borderId="84" xfId="0" applyFont="1" applyBorder="1" applyAlignment="1">
      <alignment horizontal="center" wrapText="1"/>
    </xf>
    <xf numFmtId="164" fontId="133" fillId="3" borderId="0" xfId="0" applyNumberFormat="1" applyFont="1" applyFill="1" applyBorder="1" applyAlignment="1">
      <alignment horizontal="right" wrapText="1"/>
    </xf>
    <xf numFmtId="0" fontId="55" fillId="2" borderId="0" xfId="0" applyFont="1" applyFill="1" applyBorder="1" applyAlignment="1">
      <alignment horizontal="center"/>
    </xf>
    <xf numFmtId="0" fontId="57" fillId="3" borderId="0" xfId="0" applyFont="1" applyFill="1" applyBorder="1" applyAlignment="1">
      <alignment horizontal="center" vertical="center" wrapText="1"/>
    </xf>
    <xf numFmtId="0" fontId="55" fillId="2" borderId="0" xfId="0" applyFont="1" applyFill="1" applyBorder="1" applyAlignment="1">
      <alignment horizontal="center" vertical="center"/>
    </xf>
    <xf numFmtId="0" fontId="55" fillId="0" borderId="0" xfId="0" applyFont="1" applyAlignment="1">
      <alignment horizontal="center" vertical="center"/>
    </xf>
    <xf numFmtId="9" fontId="87" fillId="0" borderId="0" xfId="13" applyFont="1" applyAlignment="1">
      <alignment horizontal="center"/>
    </xf>
    <xf numFmtId="0" fontId="17" fillId="0" borderId="0" xfId="2" applyFont="1" applyAlignment="1">
      <alignment horizontal="right"/>
    </xf>
    <xf numFmtId="10" fontId="23" fillId="0" borderId="0" xfId="2" applyNumberFormat="1" applyFont="1" applyAlignment="1">
      <alignment horizontal="centerContinuous"/>
    </xf>
    <xf numFmtId="0" fontId="85" fillId="0" borderId="0" xfId="3" applyFont="1" applyFill="1" applyBorder="1" applyAlignment="1">
      <alignment horizontal="left" vertical="center"/>
    </xf>
    <xf numFmtId="0" fontId="87" fillId="2" borderId="0" xfId="0" applyFont="1" applyFill="1" applyBorder="1"/>
    <xf numFmtId="0" fontId="84" fillId="0" borderId="122" xfId="3" applyFont="1" applyFill="1" applyBorder="1" applyAlignment="1">
      <alignment horizontal="left" vertical="center"/>
    </xf>
    <xf numFmtId="0" fontId="55" fillId="6" borderId="0" xfId="0" applyFont="1" applyFill="1" applyBorder="1" applyAlignment="1">
      <alignment horizontal="left" vertical="center"/>
    </xf>
    <xf numFmtId="0" fontId="129" fillId="10" borderId="0" xfId="0" applyFont="1" applyFill="1" applyAlignment="1">
      <alignment horizontal="center" vertical="center" wrapText="1"/>
    </xf>
    <xf numFmtId="0" fontId="0" fillId="0" borderId="0" xfId="0"/>
    <xf numFmtId="0" fontId="0" fillId="0" borderId="0" xfId="0" applyAlignment="1">
      <alignment vertical="center"/>
    </xf>
    <xf numFmtId="9" fontId="0" fillId="0" borderId="0" xfId="0" applyNumberFormat="1"/>
    <xf numFmtId="0" fontId="0" fillId="0" borderId="0" xfId="0" applyBorder="1"/>
    <xf numFmtId="0" fontId="74" fillId="0" borderId="0" xfId="0" applyFont="1" applyBorder="1"/>
    <xf numFmtId="0" fontId="27" fillId="0" borderId="0" xfId="0" applyFont="1" applyBorder="1"/>
    <xf numFmtId="0" fontId="27" fillId="0" borderId="0" xfId="0" applyFont="1" applyBorder="1" applyAlignment="1">
      <alignment horizontal="left"/>
    </xf>
    <xf numFmtId="0" fontId="88" fillId="0" borderId="0" xfId="0" applyFont="1" applyBorder="1" applyAlignment="1"/>
    <xf numFmtId="0" fontId="156" fillId="0" borderId="0" xfId="0" applyFont="1"/>
    <xf numFmtId="0" fontId="0" fillId="0" borderId="120" xfId="0" applyBorder="1"/>
    <xf numFmtId="0" fontId="156" fillId="0" borderId="0" xfId="0" applyFont="1" applyBorder="1"/>
    <xf numFmtId="9" fontId="71" fillId="0" borderId="0" xfId="0" applyNumberFormat="1" applyFont="1" applyBorder="1" applyAlignment="1">
      <alignment horizontal="center"/>
    </xf>
    <xf numFmtId="0" fontId="0" fillId="0" borderId="0" xfId="0" applyBorder="1" applyAlignment="1">
      <alignment vertical="center"/>
    </xf>
    <xf numFmtId="0" fontId="67" fillId="0" borderId="0" xfId="0" applyFont="1" applyBorder="1" applyAlignment="1">
      <alignment vertical="center"/>
    </xf>
    <xf numFmtId="0" fontId="67" fillId="0" borderId="0" xfId="0" applyFont="1" applyBorder="1" applyAlignment="1">
      <alignment horizontal="center" vertical="center"/>
    </xf>
    <xf numFmtId="0" fontId="50" fillId="4" borderId="0" xfId="0" applyFont="1" applyFill="1" applyBorder="1" applyAlignment="1">
      <alignment horizontal="right" vertical="center"/>
    </xf>
    <xf numFmtId="0" fontId="67" fillId="0" borderId="0" xfId="0" applyFont="1" applyBorder="1" applyAlignment="1">
      <alignment horizontal="right" vertical="center"/>
    </xf>
    <xf numFmtId="0" fontId="67" fillId="0" borderId="0" xfId="0" applyFont="1" applyBorder="1" applyAlignment="1">
      <alignment horizontal="right"/>
    </xf>
    <xf numFmtId="0" fontId="134" fillId="0" borderId="0" xfId="0" applyFont="1" applyFill="1" applyBorder="1" applyAlignment="1">
      <alignment horizontal="left"/>
    </xf>
    <xf numFmtId="9" fontId="27" fillId="0" borderId="0" xfId="0" applyNumberFormat="1" applyFont="1" applyBorder="1" applyAlignment="1">
      <alignment horizontal="left"/>
    </xf>
    <xf numFmtId="49" fontId="27" fillId="0" borderId="0" xfId="0" applyNumberFormat="1" applyFont="1" applyBorder="1" applyAlignment="1">
      <alignment horizontal="right"/>
    </xf>
    <xf numFmtId="0" fontId="185" fillId="0" borderId="0" xfId="0" applyFont="1" applyBorder="1"/>
    <xf numFmtId="0" fontId="134" fillId="0" borderId="0" xfId="0" applyFont="1" applyFill="1" applyBorder="1" applyAlignment="1"/>
    <xf numFmtId="0" fontId="0" fillId="0" borderId="0" xfId="0" applyBorder="1" applyAlignment="1">
      <alignment wrapText="1"/>
    </xf>
    <xf numFmtId="0" fontId="0" fillId="0" borderId="125" xfId="0" applyBorder="1"/>
    <xf numFmtId="0" fontId="53" fillId="6" borderId="0" xfId="0" applyFont="1" applyFill="1" applyBorder="1" applyAlignment="1">
      <alignment horizontal="center" vertical="center"/>
    </xf>
    <xf numFmtId="0" fontId="53" fillId="6" borderId="0" xfId="0" applyFont="1" applyFill="1" applyBorder="1" applyAlignment="1">
      <alignment horizontal="right" vertical="center"/>
    </xf>
    <xf numFmtId="0" fontId="59" fillId="4" borderId="0" xfId="0" applyFont="1" applyFill="1" applyBorder="1" applyAlignment="1">
      <alignment horizontal="centerContinuous" vertical="center"/>
    </xf>
    <xf numFmtId="0" fontId="53" fillId="3" borderId="0" xfId="0" applyFont="1" applyFill="1" applyBorder="1" applyAlignment="1">
      <alignment horizontal="centerContinuous" vertical="center"/>
    </xf>
    <xf numFmtId="0" fontId="73" fillId="0" borderId="0" xfId="0" applyFont="1" applyBorder="1"/>
    <xf numFmtId="170" fontId="53" fillId="6" borderId="0" xfId="0" applyNumberFormat="1" applyFont="1" applyFill="1" applyBorder="1" applyAlignment="1">
      <alignment horizontal="center" vertical="center"/>
    </xf>
    <xf numFmtId="0" fontId="204" fillId="0" borderId="0" xfId="0" applyFont="1" applyFill="1" applyBorder="1" applyAlignment="1">
      <alignment horizontal="left"/>
    </xf>
    <xf numFmtId="0" fontId="53" fillId="4" borderId="0" xfId="0" applyFont="1" applyFill="1" applyBorder="1" applyAlignment="1">
      <alignment horizontal="centerContinuous" vertical="center"/>
    </xf>
    <xf numFmtId="0" fontId="59" fillId="4" borderId="63" xfId="0" applyFont="1" applyFill="1" applyBorder="1" applyAlignment="1">
      <alignment horizontal="center" vertical="center" wrapText="1"/>
    </xf>
    <xf numFmtId="0" fontId="63" fillId="0" borderId="0" xfId="0" applyFont="1" applyAlignment="1">
      <alignment horizontal="centerContinuous"/>
    </xf>
    <xf numFmtId="0" fontId="205" fillId="0" borderId="0" xfId="0" applyFont="1"/>
    <xf numFmtId="0" fontId="206" fillId="0" borderId="0" xfId="0" applyFont="1"/>
    <xf numFmtId="9" fontId="63" fillId="0" borderId="0" xfId="0" applyNumberFormat="1" applyFont="1" applyAlignment="1">
      <alignment horizontal="left"/>
    </xf>
    <xf numFmtId="169" fontId="114" fillId="4" borderId="89" xfId="0" applyNumberFormat="1" applyFont="1" applyFill="1" applyBorder="1" applyAlignment="1">
      <alignment vertical="center"/>
    </xf>
    <xf numFmtId="3" fontId="69" fillId="6" borderId="14" xfId="0" applyNumberFormat="1" applyFont="1" applyFill="1" applyBorder="1" applyAlignment="1">
      <alignment horizontal="center" vertical="center"/>
    </xf>
    <xf numFmtId="3" fontId="100" fillId="6" borderId="14" xfId="0" applyNumberFormat="1" applyFont="1" applyFill="1" applyBorder="1" applyAlignment="1">
      <alignment horizontal="center" vertical="center"/>
    </xf>
    <xf numFmtId="0" fontId="104" fillId="0" borderId="0" xfId="0" applyFont="1"/>
    <xf numFmtId="165" fontId="38" fillId="0" borderId="0" xfId="13" applyNumberFormat="1" applyFont="1"/>
    <xf numFmtId="0" fontId="67" fillId="0" borderId="17" xfId="0" applyFont="1" applyFill="1" applyBorder="1" applyAlignment="1">
      <alignment horizontal="centerContinuous"/>
    </xf>
    <xf numFmtId="0" fontId="100" fillId="3" borderId="73" xfId="0" applyFont="1" applyFill="1" applyBorder="1" applyAlignment="1">
      <alignment horizontal="center" vertical="center" wrapText="1"/>
    </xf>
    <xf numFmtId="0" fontId="44" fillId="4" borderId="15" xfId="0" applyFont="1" applyFill="1" applyBorder="1" applyAlignment="1">
      <alignment horizontal="right" vertical="center"/>
    </xf>
    <xf numFmtId="1" fontId="69" fillId="6" borderId="39" xfId="2" applyNumberFormat="1" applyFont="1" applyFill="1" applyBorder="1" applyAlignment="1">
      <alignment horizontal="center" vertical="center"/>
    </xf>
    <xf numFmtId="1" fontId="69" fillId="6" borderId="40" xfId="2" applyNumberFormat="1" applyFont="1" applyFill="1" applyBorder="1" applyAlignment="1">
      <alignment horizontal="center" vertical="center"/>
    </xf>
    <xf numFmtId="1" fontId="69" fillId="6" borderId="15" xfId="2" applyNumberFormat="1" applyFont="1" applyFill="1" applyBorder="1" applyAlignment="1">
      <alignment horizontal="center" vertical="center"/>
    </xf>
    <xf numFmtId="0" fontId="69" fillId="6" borderId="39" xfId="2" applyNumberFormat="1" applyFont="1" applyFill="1" applyBorder="1" applyAlignment="1">
      <alignment horizontal="center" vertical="center"/>
    </xf>
    <xf numFmtId="0" fontId="69" fillId="6" borderId="40" xfId="2" applyNumberFormat="1" applyFont="1" applyFill="1" applyBorder="1" applyAlignment="1">
      <alignment horizontal="center" vertical="center"/>
    </xf>
    <xf numFmtId="0" fontId="44" fillId="4" borderId="15" xfId="0" applyNumberFormat="1" applyFont="1" applyFill="1" applyBorder="1" applyAlignment="1">
      <alignment horizontal="centerContinuous" vertical="center"/>
    </xf>
    <xf numFmtId="0" fontId="44" fillId="4" borderId="19" xfId="0" applyNumberFormat="1" applyFont="1" applyFill="1" applyBorder="1" applyAlignment="1">
      <alignment horizontal="centerContinuous" vertical="center"/>
    </xf>
    <xf numFmtId="0" fontId="54" fillId="6" borderId="14" xfId="14" applyNumberFormat="1" applyFont="1" applyFill="1" applyBorder="1" applyAlignment="1">
      <alignment horizontal="center" vertical="center"/>
    </xf>
    <xf numFmtId="167" fontId="59" fillId="4" borderId="15" xfId="0" applyNumberFormat="1" applyFont="1" applyFill="1" applyBorder="1" applyAlignment="1">
      <alignment horizontal="center" vertical="center" wrapText="1"/>
    </xf>
    <xf numFmtId="167" fontId="97" fillId="4" borderId="14" xfId="0" applyNumberFormat="1" applyFont="1" applyFill="1" applyBorder="1" applyAlignment="1">
      <alignment vertical="center"/>
    </xf>
    <xf numFmtId="168" fontId="118" fillId="0" borderId="14" xfId="0" applyNumberFormat="1" applyFont="1" applyFill="1" applyBorder="1" applyAlignment="1">
      <alignment vertical="center"/>
    </xf>
    <xf numFmtId="168" fontId="113" fillId="0" borderId="14" xfId="0" applyNumberFormat="1" applyFont="1" applyBorder="1" applyAlignment="1">
      <alignment vertical="center"/>
    </xf>
    <xf numFmtId="42" fontId="40" fillId="0" borderId="14" xfId="0" applyNumberFormat="1" applyFont="1" applyFill="1" applyBorder="1" applyAlignment="1">
      <alignment horizontal="center" vertical="center"/>
    </xf>
    <xf numFmtId="0" fontId="67" fillId="0" borderId="0" xfId="0" applyFont="1" applyBorder="1" applyAlignment="1">
      <alignment horizontal="center"/>
    </xf>
    <xf numFmtId="0" fontId="88" fillId="0" borderId="0" xfId="0" applyFont="1" applyBorder="1" applyAlignment="1">
      <alignment horizontal="center"/>
    </xf>
    <xf numFmtId="0" fontId="134" fillId="0" borderId="0" xfId="0" applyFont="1" applyFill="1" applyBorder="1" applyAlignment="1">
      <alignment horizontal="center"/>
    </xf>
    <xf numFmtId="0" fontId="0" fillId="0" borderId="119" xfId="0" applyBorder="1"/>
    <xf numFmtId="0" fontId="74" fillId="0" borderId="120" xfId="0" applyFont="1" applyBorder="1"/>
    <xf numFmtId="0" fontId="54" fillId="0" borderId="0" xfId="3" applyFont="1" applyFill="1" applyBorder="1" applyAlignment="1">
      <alignment horizontal="left" vertical="center"/>
    </xf>
    <xf numFmtId="0" fontId="209" fillId="2" borderId="0" xfId="0" applyFont="1" applyFill="1" applyBorder="1" applyAlignment="1">
      <alignment horizontal="right" wrapText="1"/>
    </xf>
    <xf numFmtId="0" fontId="209" fillId="13" borderId="0" xfId="0" applyFont="1" applyFill="1" applyBorder="1" applyAlignment="1">
      <alignment horizontal="right" wrapText="1"/>
    </xf>
    <xf numFmtId="0" fontId="209" fillId="0" borderId="0" xfId="0" applyFont="1" applyFill="1" applyBorder="1" applyAlignment="1">
      <alignment horizontal="right" wrapText="1"/>
    </xf>
    <xf numFmtId="0" fontId="55" fillId="0" borderId="0" xfId="0" applyFont="1" applyBorder="1" applyAlignment="1">
      <alignment horizontal="left" wrapText="1"/>
    </xf>
    <xf numFmtId="0" fontId="210" fillId="2" borderId="0" xfId="0" applyFont="1" applyFill="1" applyBorder="1"/>
    <xf numFmtId="0" fontId="210" fillId="0" borderId="0" xfId="0" applyFont="1" applyBorder="1"/>
    <xf numFmtId="0" fontId="54" fillId="2" borderId="0" xfId="0" applyFont="1" applyFill="1" applyBorder="1"/>
    <xf numFmtId="0" fontId="210" fillId="0" borderId="128" xfId="3" applyFont="1" applyFill="1" applyBorder="1" applyAlignment="1">
      <alignment horizontal="center" vertical="center"/>
    </xf>
    <xf numFmtId="0" fontId="210" fillId="0" borderId="6" xfId="3" applyFont="1" applyFill="1" applyBorder="1" applyAlignment="1">
      <alignment horizontal="center" vertical="center"/>
    </xf>
    <xf numFmtId="0" fontId="210" fillId="0" borderId="129" xfId="3" applyFont="1" applyFill="1" applyBorder="1" applyAlignment="1">
      <alignment horizontal="center" vertical="center"/>
    </xf>
    <xf numFmtId="0" fontId="210" fillId="0" borderId="130" xfId="3" applyFont="1" applyFill="1" applyBorder="1" applyAlignment="1">
      <alignment horizontal="center" vertical="center"/>
    </xf>
    <xf numFmtId="0" fontId="210" fillId="2" borderId="128" xfId="3" applyFont="1" applyFill="1" applyBorder="1" applyAlignment="1">
      <alignment horizontal="center" vertical="center"/>
    </xf>
    <xf numFmtId="0" fontId="210" fillId="2" borderId="6" xfId="3" applyFont="1" applyFill="1" applyBorder="1" applyAlignment="1">
      <alignment horizontal="center" vertical="center"/>
    </xf>
    <xf numFmtId="0" fontId="210" fillId="2" borderId="129" xfId="3" applyFont="1" applyFill="1" applyBorder="1" applyAlignment="1">
      <alignment horizontal="center" vertical="center"/>
    </xf>
    <xf numFmtId="0" fontId="210" fillId="2" borderId="130" xfId="3" applyFont="1" applyFill="1" applyBorder="1" applyAlignment="1">
      <alignment horizontal="center" vertical="center"/>
    </xf>
    <xf numFmtId="0" fontId="55" fillId="2" borderId="127" xfId="3" applyFont="1" applyFill="1" applyBorder="1" applyAlignment="1">
      <alignment horizontal="center" vertical="center"/>
    </xf>
    <xf numFmtId="0" fontId="55" fillId="2" borderId="137" xfId="3" applyFont="1" applyFill="1" applyBorder="1" applyAlignment="1">
      <alignment horizontal="center" vertical="center"/>
    </xf>
    <xf numFmtId="0" fontId="55" fillId="2" borderId="138" xfId="3" applyFont="1" applyFill="1" applyBorder="1" applyAlignment="1">
      <alignment horizontal="center" vertical="center"/>
    </xf>
    <xf numFmtId="0" fontId="55" fillId="2" borderId="139" xfId="3" applyFont="1" applyFill="1" applyBorder="1" applyAlignment="1">
      <alignment horizontal="center" vertical="center"/>
    </xf>
    <xf numFmtId="0" fontId="54" fillId="0" borderId="52" xfId="3" applyFont="1" applyBorder="1" applyAlignment="1">
      <alignment horizontal="center" vertical="center"/>
    </xf>
    <xf numFmtId="0" fontId="211" fillId="0" borderId="3" xfId="0" applyFont="1" applyBorder="1" applyAlignment="1">
      <alignment horizontal="center" wrapText="1"/>
    </xf>
    <xf numFmtId="0" fontId="211" fillId="0" borderId="4" xfId="0" applyFont="1" applyBorder="1" applyAlignment="1">
      <alignment horizontal="center" wrapText="1"/>
    </xf>
    <xf numFmtId="0" fontId="210" fillId="2" borderId="0" xfId="0" applyFont="1" applyFill="1" applyBorder="1" applyAlignment="1">
      <alignment horizontal="right" wrapText="1"/>
    </xf>
    <xf numFmtId="9" fontId="85" fillId="3" borderId="0" xfId="13" applyNumberFormat="1" applyFont="1" applyFill="1" applyBorder="1" applyAlignment="1">
      <alignment horizontal="center" vertical="center" wrapText="1"/>
    </xf>
    <xf numFmtId="14" fontId="53" fillId="0" borderId="131" xfId="0" applyNumberFormat="1" applyFont="1" applyBorder="1" applyAlignment="1">
      <alignment horizontal="center"/>
    </xf>
    <xf numFmtId="0" fontId="210" fillId="0" borderId="0" xfId="0" applyFont="1" applyBorder="1" applyAlignment="1">
      <alignment horizontal="right" wrapText="1"/>
    </xf>
    <xf numFmtId="2" fontId="210" fillId="6" borderId="22" xfId="0" applyNumberFormat="1" applyFont="1" applyFill="1" applyBorder="1" applyAlignment="1">
      <alignment vertical="center"/>
    </xf>
    <xf numFmtId="0" fontId="88" fillId="0" borderId="122" xfId="0" applyFont="1" applyBorder="1" applyAlignment="1">
      <alignment horizontal="center"/>
    </xf>
    <xf numFmtId="0" fontId="88" fillId="0" borderId="0" xfId="0" applyFont="1" applyBorder="1" applyAlignment="1">
      <alignment horizontal="center"/>
    </xf>
    <xf numFmtId="0" fontId="167" fillId="6" borderId="14" xfId="0" applyFont="1" applyFill="1" applyBorder="1"/>
    <xf numFmtId="0" fontId="0" fillId="0" borderId="0" xfId="0" applyNumberFormat="1" applyBorder="1" applyAlignment="1">
      <alignment vertical="center"/>
    </xf>
    <xf numFmtId="0" fontId="50" fillId="4" borderId="0" xfId="0" applyNumberFormat="1" applyFont="1" applyFill="1" applyBorder="1" applyAlignment="1">
      <alignment horizontal="right" vertical="center"/>
    </xf>
    <xf numFmtId="0" fontId="212" fillId="6" borderId="0" xfId="0" applyNumberFormat="1" applyFont="1" applyFill="1" applyBorder="1" applyAlignment="1">
      <alignment horizontal="center" vertical="center"/>
    </xf>
    <xf numFmtId="0" fontId="0" fillId="0" borderId="0" xfId="0" applyNumberFormat="1" applyBorder="1"/>
    <xf numFmtId="0" fontId="67" fillId="0" borderId="0" xfId="0" applyNumberFormat="1" applyFont="1" applyBorder="1" applyAlignment="1">
      <alignment horizontal="right" vertical="center"/>
    </xf>
    <xf numFmtId="0" fontId="67" fillId="0" borderId="0" xfId="0" applyNumberFormat="1" applyFont="1" applyBorder="1" applyAlignment="1">
      <alignment horizontal="center" vertical="center"/>
    </xf>
    <xf numFmtId="0" fontId="67" fillId="0" borderId="0" xfId="0" applyNumberFormat="1" applyFont="1" applyBorder="1" applyAlignment="1">
      <alignment horizontal="right"/>
    </xf>
    <xf numFmtId="0" fontId="134" fillId="0" borderId="0" xfId="0" applyNumberFormat="1" applyFont="1" applyFill="1" applyBorder="1" applyAlignment="1">
      <alignment horizontal="left"/>
    </xf>
    <xf numFmtId="0" fontId="67" fillId="0" borderId="0" xfId="0" applyNumberFormat="1" applyFont="1" applyBorder="1" applyAlignment="1">
      <alignment horizontal="center"/>
    </xf>
    <xf numFmtId="0" fontId="59" fillId="4" borderId="0" xfId="0" applyNumberFormat="1" applyFont="1" applyFill="1" applyBorder="1" applyAlignment="1">
      <alignment horizontal="centerContinuous" vertical="center"/>
    </xf>
    <xf numFmtId="0" fontId="53" fillId="3" borderId="0" xfId="0" applyNumberFormat="1" applyFont="1" applyFill="1" applyBorder="1" applyAlignment="1">
      <alignment horizontal="centerContinuous" vertical="center"/>
    </xf>
    <xf numFmtId="0" fontId="27" fillId="0" borderId="0" xfId="0" applyNumberFormat="1" applyFont="1" applyBorder="1" applyAlignment="1">
      <alignment horizontal="right"/>
    </xf>
    <xf numFmtId="0" fontId="53" fillId="6" borderId="0" xfId="0" applyNumberFormat="1" applyFont="1" applyFill="1" applyBorder="1" applyAlignment="1">
      <alignment horizontal="center" vertical="center"/>
    </xf>
    <xf numFmtId="0" fontId="185" fillId="0" borderId="0" xfId="0" applyNumberFormat="1" applyFont="1" applyBorder="1"/>
    <xf numFmtId="0" fontId="27" fillId="0" borderId="0" xfId="0" applyNumberFormat="1" applyFont="1" applyBorder="1"/>
    <xf numFmtId="0" fontId="27" fillId="0" borderId="0" xfId="0" applyNumberFormat="1" applyFont="1" applyBorder="1" applyAlignment="1">
      <alignment horizontal="left"/>
    </xf>
    <xf numFmtId="0" fontId="134" fillId="0" borderId="0" xfId="0" applyNumberFormat="1" applyFont="1" applyFill="1" applyBorder="1" applyAlignment="1">
      <alignment horizontal="center"/>
    </xf>
    <xf numFmtId="0" fontId="134" fillId="0" borderId="0" xfId="0" applyNumberFormat="1" applyFont="1" applyFill="1" applyBorder="1" applyAlignment="1"/>
    <xf numFmtId="0" fontId="88" fillId="0" borderId="0" xfId="0" applyNumberFormat="1" applyFont="1" applyBorder="1" applyAlignment="1">
      <alignment horizontal="center"/>
    </xf>
    <xf numFmtId="0" fontId="88" fillId="0" borderId="0" xfId="0" applyNumberFormat="1" applyFont="1" applyBorder="1" applyAlignment="1"/>
    <xf numFmtId="0" fontId="0" fillId="0" borderId="0" xfId="0" applyNumberFormat="1" applyBorder="1" applyAlignment="1">
      <alignment wrapText="1"/>
    </xf>
    <xf numFmtId="0" fontId="0" fillId="0" borderId="125" xfId="0" applyNumberFormat="1" applyBorder="1"/>
    <xf numFmtId="0" fontId="211" fillId="0" borderId="0" xfId="0" applyNumberFormat="1" applyFont="1" applyBorder="1" applyAlignment="1">
      <alignment horizontal="center" vertical="center"/>
    </xf>
    <xf numFmtId="0" fontId="211" fillId="0" borderId="0" xfId="0" applyFont="1" applyBorder="1" applyAlignment="1">
      <alignment horizontal="center" vertical="center"/>
    </xf>
    <xf numFmtId="0" fontId="210" fillId="0" borderId="5" xfId="3" applyFont="1" applyBorder="1" applyAlignment="1">
      <alignment horizontal="center" vertical="center"/>
    </xf>
    <xf numFmtId="0" fontId="210" fillId="0" borderId="0" xfId="3" applyFont="1" applyBorder="1" applyAlignment="1">
      <alignment horizontal="center" vertical="center"/>
    </xf>
    <xf numFmtId="0" fontId="210" fillId="0" borderId="6" xfId="3" applyFont="1" applyBorder="1" applyAlignment="1">
      <alignment horizontal="center" vertical="center"/>
    </xf>
    <xf numFmtId="0" fontId="210" fillId="2" borderId="5" xfId="3" applyFont="1" applyFill="1" applyBorder="1" applyAlignment="1">
      <alignment horizontal="center" vertical="center"/>
    </xf>
    <xf numFmtId="0" fontId="210" fillId="2" borderId="0" xfId="3" applyFont="1" applyFill="1" applyBorder="1" applyAlignment="1">
      <alignment horizontal="center" vertical="center"/>
    </xf>
    <xf numFmtId="1" fontId="210" fillId="0" borderId="5" xfId="3" applyNumberFormat="1" applyFont="1" applyBorder="1" applyAlignment="1">
      <alignment horizontal="center" vertical="center"/>
    </xf>
    <xf numFmtId="1" fontId="210" fillId="0" borderId="0" xfId="3" applyNumberFormat="1" applyFont="1" applyBorder="1" applyAlignment="1">
      <alignment horizontal="center" vertical="center"/>
    </xf>
    <xf numFmtId="1" fontId="210" fillId="0" borderId="6" xfId="3" applyNumberFormat="1" applyFont="1" applyBorder="1" applyAlignment="1">
      <alignment horizontal="center" vertical="center"/>
    </xf>
    <xf numFmtId="0" fontId="210" fillId="0" borderId="5" xfId="3" applyFont="1" applyFill="1" applyBorder="1" applyAlignment="1">
      <alignment horizontal="center" vertical="center"/>
    </xf>
    <xf numFmtId="0" fontId="210" fillId="0" borderId="0" xfId="3" applyFont="1" applyFill="1" applyBorder="1" applyAlignment="1">
      <alignment horizontal="center" vertical="center"/>
    </xf>
    <xf numFmtId="0" fontId="210" fillId="2" borderId="46" xfId="3" applyFont="1" applyFill="1" applyBorder="1" applyAlignment="1">
      <alignment horizontal="center" vertical="center"/>
    </xf>
    <xf numFmtId="0" fontId="210" fillId="2" borderId="47" xfId="3" applyFont="1" applyFill="1" applyBorder="1" applyAlignment="1">
      <alignment horizontal="center" vertical="center"/>
    </xf>
    <xf numFmtId="0" fontId="210" fillId="2" borderId="48" xfId="3" applyFont="1" applyFill="1" applyBorder="1" applyAlignment="1">
      <alignment horizontal="center" vertical="center"/>
    </xf>
    <xf numFmtId="0" fontId="213" fillId="0" borderId="59" xfId="0" applyFont="1" applyBorder="1" applyAlignment="1">
      <alignment vertical="center" wrapText="1"/>
    </xf>
    <xf numFmtId="0" fontId="213" fillId="6" borderId="49" xfId="0" applyFont="1" applyFill="1" applyBorder="1" applyAlignment="1">
      <alignment vertical="center" wrapText="1"/>
    </xf>
    <xf numFmtId="0" fontId="213" fillId="0" borderId="49" xfId="0" applyFont="1" applyFill="1" applyBorder="1" applyAlignment="1">
      <alignment vertical="center" wrapText="1"/>
    </xf>
    <xf numFmtId="0" fontId="213" fillId="0" borderId="49" xfId="0" applyFont="1" applyBorder="1" applyAlignment="1">
      <alignment vertical="center" wrapText="1"/>
    </xf>
    <xf numFmtId="0" fontId="213" fillId="0" borderId="49" xfId="0" applyFont="1" applyFill="1" applyBorder="1" applyAlignment="1">
      <alignment horizontal="center" vertical="center" wrapText="1"/>
    </xf>
    <xf numFmtId="9" fontId="214" fillId="3" borderId="49" xfId="0" applyNumberFormat="1" applyFont="1" applyFill="1" applyBorder="1" applyAlignment="1">
      <alignment vertical="center" wrapText="1"/>
    </xf>
    <xf numFmtId="0" fontId="17" fillId="0" borderId="0" xfId="2" applyNumberFormat="1" applyFont="1" applyAlignment="1"/>
    <xf numFmtId="0" fontId="209" fillId="2" borderId="111" xfId="6" applyFont="1" applyFill="1" applyBorder="1"/>
    <xf numFmtId="0" fontId="209" fillId="2" borderId="112" xfId="6" applyFont="1" applyFill="1" applyBorder="1"/>
    <xf numFmtId="0" fontId="209" fillId="2" borderId="113" xfId="6" applyFont="1" applyFill="1" applyBorder="1"/>
    <xf numFmtId="0" fontId="209" fillId="0" borderId="0" xfId="6" applyFont="1" applyFill="1" applyBorder="1"/>
    <xf numFmtId="0" fontId="209" fillId="0" borderId="0" xfId="10" applyFont="1"/>
    <xf numFmtId="0" fontId="209" fillId="2" borderId="114" xfId="6" applyFont="1" applyFill="1" applyBorder="1"/>
    <xf numFmtId="0" fontId="209" fillId="2" borderId="115" xfId="6" applyFont="1" applyFill="1" applyBorder="1"/>
    <xf numFmtId="0" fontId="209" fillId="2" borderId="116" xfId="6" applyNumberFormat="1" applyFont="1" applyFill="1" applyBorder="1"/>
    <xf numFmtId="9" fontId="209" fillId="2" borderId="116" xfId="6" applyNumberFormat="1" applyFont="1" applyFill="1" applyBorder="1"/>
    <xf numFmtId="9" fontId="168" fillId="0" borderId="0" xfId="0" applyNumberFormat="1" applyFont="1" applyAlignment="1">
      <alignment horizontal="center"/>
    </xf>
    <xf numFmtId="0" fontId="167" fillId="0" borderId="0" xfId="0" applyFont="1"/>
    <xf numFmtId="0" fontId="215" fillId="0" borderId="34" xfId="0" applyFont="1" applyBorder="1" applyAlignment="1">
      <alignment horizontal="left"/>
    </xf>
    <xf numFmtId="0" fontId="168" fillId="0" borderId="36" xfId="0" applyNumberFormat="1" applyFont="1" applyBorder="1" applyAlignment="1">
      <alignment horizontal="left"/>
    </xf>
    <xf numFmtId="9" fontId="168" fillId="0" borderId="0" xfId="0" applyNumberFormat="1" applyFont="1" applyAlignment="1">
      <alignment horizontal="right"/>
    </xf>
    <xf numFmtId="0" fontId="210" fillId="6" borderId="22" xfId="0" applyNumberFormat="1" applyFont="1" applyFill="1" applyBorder="1" applyAlignment="1">
      <alignment vertical="center"/>
    </xf>
    <xf numFmtId="0" fontId="210" fillId="0" borderId="50" xfId="3" applyFont="1" applyBorder="1" applyAlignment="1">
      <alignment horizontal="center" vertical="center"/>
    </xf>
    <xf numFmtId="0" fontId="210" fillId="2" borderId="50" xfId="3" applyFont="1" applyFill="1" applyBorder="1" applyAlignment="1">
      <alignment horizontal="center" vertical="center"/>
    </xf>
    <xf numFmtId="0" fontId="210" fillId="2" borderId="81" xfId="3" applyFont="1" applyFill="1" applyBorder="1" applyAlignment="1">
      <alignment horizontal="center" vertical="center"/>
    </xf>
    <xf numFmtId="0" fontId="214" fillId="0" borderId="50" xfId="3" applyFont="1" applyBorder="1" applyAlignment="1">
      <alignment horizontal="center" vertical="center"/>
    </xf>
    <xf numFmtId="0" fontId="213" fillId="2" borderId="81" xfId="3" applyFont="1" applyFill="1" applyBorder="1" applyAlignment="1">
      <alignment horizontal="center" vertical="center"/>
    </xf>
    <xf numFmtId="0" fontId="169" fillId="3" borderId="73" xfId="0" applyFont="1" applyFill="1" applyBorder="1" applyAlignment="1">
      <alignment horizontal="center" vertical="center" wrapText="1"/>
    </xf>
    <xf numFmtId="0" fontId="210" fillId="6" borderId="14" xfId="0" applyFont="1" applyFill="1" applyBorder="1" applyAlignment="1">
      <alignment vertical="center"/>
    </xf>
    <xf numFmtId="0" fontId="210" fillId="0" borderId="0" xfId="0" applyFont="1" applyAlignment="1">
      <alignment vertical="center"/>
    </xf>
    <xf numFmtId="0" fontId="210" fillId="0" borderId="14" xfId="0" applyFont="1" applyFill="1" applyBorder="1" applyAlignment="1">
      <alignment vertical="center"/>
    </xf>
    <xf numFmtId="0" fontId="209" fillId="0" borderId="102" xfId="0" applyFont="1" applyBorder="1" applyAlignment="1">
      <alignment horizontal="center" vertical="center"/>
    </xf>
    <xf numFmtId="9" fontId="216" fillId="0" borderId="0" xfId="0" applyNumberFormat="1" applyFont="1" applyAlignment="1">
      <alignment horizontal="center"/>
    </xf>
    <xf numFmtId="9" fontId="216" fillId="0" borderId="0" xfId="0" applyNumberFormat="1" applyFont="1" applyAlignment="1">
      <alignment horizontal="right"/>
    </xf>
    <xf numFmtId="9" fontId="216" fillId="0" borderId="0" xfId="0" applyNumberFormat="1" applyFont="1" applyAlignment="1">
      <alignment horizontal="left"/>
    </xf>
    <xf numFmtId="9" fontId="217" fillId="0" borderId="0" xfId="0" applyNumberFormat="1" applyFont="1" applyAlignment="1">
      <alignment horizontal="center"/>
    </xf>
    <xf numFmtId="9" fontId="217" fillId="0" borderId="0" xfId="0" applyNumberFormat="1" applyFont="1" applyAlignment="1">
      <alignment horizontal="right"/>
    </xf>
    <xf numFmtId="0" fontId="55" fillId="0" borderId="0" xfId="2" applyFont="1"/>
    <xf numFmtId="0" fontId="210" fillId="0" borderId="0" xfId="0" applyFont="1" applyFill="1" applyBorder="1" applyAlignment="1">
      <alignment horizontal="right" wrapText="1"/>
    </xf>
    <xf numFmtId="0" fontId="40" fillId="0" borderId="0" xfId="13" applyNumberFormat="1" applyFont="1" applyAlignment="1">
      <alignment horizontal="left"/>
    </xf>
    <xf numFmtId="0" fontId="54" fillId="6" borderId="0" xfId="2" applyFont="1" applyFill="1" applyBorder="1" applyAlignment="1">
      <alignment horizontal="centerContinuous" vertical="center"/>
    </xf>
    <xf numFmtId="0" fontId="210" fillId="6" borderId="14" xfId="0" applyFont="1" applyFill="1" applyBorder="1" applyAlignment="1">
      <alignment horizontal="center" vertical="center"/>
    </xf>
    <xf numFmtId="0" fontId="120" fillId="2" borderId="52" xfId="3" applyFont="1" applyFill="1" applyBorder="1" applyAlignment="1">
      <alignment horizontal="center" vertical="center"/>
    </xf>
    <xf numFmtId="0" fontId="210" fillId="6" borderId="14" xfId="0" applyFont="1" applyFill="1" applyBorder="1" applyAlignment="1">
      <alignment horizontal="center" vertical="center" wrapText="1"/>
    </xf>
    <xf numFmtId="9" fontId="44" fillId="4" borderId="38" xfId="0" applyNumberFormat="1" applyFont="1" applyFill="1" applyBorder="1" applyAlignment="1">
      <alignment horizontal="center" vertical="center"/>
    </xf>
    <xf numFmtId="0" fontId="101" fillId="2" borderId="20" xfId="0" applyFont="1" applyFill="1" applyBorder="1" applyAlignment="1">
      <alignment horizontal="left" vertical="center"/>
    </xf>
    <xf numFmtId="0" fontId="101" fillId="2" borderId="17" xfId="0" applyFont="1" applyFill="1" applyBorder="1" applyAlignment="1">
      <alignment horizontal="left" vertical="center"/>
    </xf>
    <xf numFmtId="9" fontId="199" fillId="3" borderId="134" xfId="0" applyNumberFormat="1" applyFont="1" applyFill="1" applyBorder="1" applyAlignment="1">
      <alignment horizontal="left" vertical="center"/>
    </xf>
    <xf numFmtId="9" fontId="44" fillId="3" borderId="38" xfId="0" applyNumberFormat="1" applyFont="1" applyFill="1" applyBorder="1" applyAlignment="1">
      <alignment horizontal="center" vertical="center"/>
    </xf>
    <xf numFmtId="9" fontId="218" fillId="3" borderId="134" xfId="0" applyNumberFormat="1" applyFont="1" applyFill="1" applyBorder="1" applyAlignment="1">
      <alignment horizontal="left" vertical="center"/>
    </xf>
    <xf numFmtId="0" fontId="55" fillId="0" borderId="0" xfId="0" applyFont="1" applyFill="1" applyBorder="1" applyAlignment="1">
      <alignment horizontal="centerContinuous" vertical="center"/>
    </xf>
    <xf numFmtId="0" fontId="27" fillId="0" borderId="0" xfId="3" applyFont="1" applyAlignment="1">
      <alignment horizontal="right"/>
    </xf>
    <xf numFmtId="0" fontId="210" fillId="2" borderId="8" xfId="3" applyFont="1" applyFill="1" applyBorder="1" applyAlignment="1">
      <alignment horizontal="center" vertical="center"/>
    </xf>
    <xf numFmtId="1" fontId="210" fillId="2" borderId="0" xfId="3" applyNumberFormat="1" applyFont="1" applyFill="1" applyBorder="1" applyAlignment="1">
      <alignment horizontal="center" vertical="center"/>
    </xf>
    <xf numFmtId="9" fontId="210" fillId="0" borderId="11" xfId="9" applyFont="1" applyFill="1" applyBorder="1" applyAlignment="1">
      <alignment horizontal="center" vertical="center"/>
    </xf>
    <xf numFmtId="0" fontId="210" fillId="6" borderId="14" xfId="0" applyNumberFormat="1" applyFont="1" applyFill="1" applyBorder="1" applyAlignment="1">
      <alignment horizontal="center" vertical="center"/>
    </xf>
    <xf numFmtId="167" fontId="210" fillId="6" borderId="14" xfId="0" applyNumberFormat="1" applyFont="1" applyFill="1" applyBorder="1" applyAlignment="1">
      <alignment horizontal="center" vertical="center"/>
    </xf>
    <xf numFmtId="0" fontId="209" fillId="6" borderId="89" xfId="0" applyFont="1" applyFill="1" applyBorder="1" applyAlignment="1">
      <alignment horizontal="center"/>
    </xf>
    <xf numFmtId="0" fontId="169" fillId="3" borderId="45" xfId="0" applyFont="1" applyFill="1" applyBorder="1" applyAlignment="1">
      <alignment horizontal="right" vertical="center" wrapText="1"/>
    </xf>
    <xf numFmtId="9" fontId="218" fillId="3" borderId="38" xfId="0" applyNumberFormat="1" applyFont="1" applyFill="1" applyBorder="1" applyAlignment="1">
      <alignment horizontal="center" vertical="center"/>
    </xf>
    <xf numFmtId="0" fontId="212" fillId="6" borderId="14" xfId="0" applyFont="1" applyFill="1" applyBorder="1" applyAlignment="1">
      <alignment horizontal="center" vertical="center"/>
    </xf>
    <xf numFmtId="167" fontId="210" fillId="6" borderId="15" xfId="0" applyNumberFormat="1" applyFont="1" applyFill="1" applyBorder="1" applyAlignment="1">
      <alignment horizontal="center" vertical="center"/>
    </xf>
    <xf numFmtId="2" fontId="210" fillId="6" borderId="117" xfId="0" applyNumberFormat="1" applyFont="1" applyFill="1" applyBorder="1" applyAlignment="1">
      <alignment horizontal="centerContinuous" vertical="center"/>
    </xf>
    <xf numFmtId="2" fontId="210" fillId="6" borderId="0" xfId="0" applyNumberFormat="1" applyFont="1" applyFill="1" applyBorder="1" applyAlignment="1">
      <alignment horizontal="centerContinuous" vertical="center"/>
    </xf>
    <xf numFmtId="2" fontId="210" fillId="0" borderId="117" xfId="0" applyNumberFormat="1" applyFont="1" applyFill="1" applyBorder="1" applyAlignment="1">
      <alignment horizontal="centerContinuous" vertical="center"/>
    </xf>
    <xf numFmtId="2" fontId="210" fillId="0" borderId="0" xfId="0" applyNumberFormat="1" applyFont="1" applyFill="1" applyBorder="1" applyAlignment="1">
      <alignment horizontal="centerContinuous" vertical="center"/>
    </xf>
    <xf numFmtId="9" fontId="210" fillId="6" borderId="14" xfId="0" applyNumberFormat="1" applyFont="1" applyFill="1" applyBorder="1" applyAlignment="1">
      <alignment horizontal="center" vertical="center" wrapText="1"/>
    </xf>
    <xf numFmtId="10" fontId="217" fillId="0" borderId="105" xfId="0" applyNumberFormat="1" applyFont="1" applyBorder="1" applyAlignment="1">
      <alignment horizontal="center"/>
    </xf>
    <xf numFmtId="10" fontId="217" fillId="0" borderId="108" xfId="0" applyNumberFormat="1" applyFont="1" applyBorder="1" applyAlignment="1">
      <alignment horizontal="center"/>
    </xf>
    <xf numFmtId="0" fontId="210" fillId="6" borderId="14" xfId="0" applyFont="1" applyFill="1" applyBorder="1"/>
    <xf numFmtId="0" fontId="210" fillId="0" borderId="0" xfId="0" applyFont="1" applyAlignment="1">
      <alignment horizontal="right"/>
    </xf>
    <xf numFmtId="0" fontId="212" fillId="8" borderId="14" xfId="0" applyFont="1" applyFill="1" applyBorder="1"/>
    <xf numFmtId="0" fontId="212" fillId="9" borderId="14" xfId="0" applyFont="1" applyFill="1" applyBorder="1"/>
    <xf numFmtId="0" fontId="210" fillId="0" borderId="0" xfId="0" applyFont="1"/>
    <xf numFmtId="0" fontId="212" fillId="4" borderId="14" xfId="0" applyFont="1" applyFill="1" applyBorder="1"/>
    <xf numFmtId="0" fontId="210" fillId="6" borderId="15" xfId="0" applyFont="1" applyFill="1" applyBorder="1" applyAlignment="1"/>
    <xf numFmtId="0" fontId="212" fillId="6" borderId="14" xfId="0" applyFont="1" applyFill="1" applyBorder="1"/>
    <xf numFmtId="0" fontId="210" fillId="8" borderId="14" xfId="0" applyFont="1" applyFill="1" applyBorder="1"/>
    <xf numFmtId="0" fontId="210" fillId="8" borderId="15" xfId="0" applyFont="1" applyFill="1" applyBorder="1" applyAlignment="1"/>
    <xf numFmtId="0" fontId="210" fillId="9" borderId="14" xfId="0" applyFont="1" applyFill="1" applyBorder="1" applyAlignment="1">
      <alignment vertical="center"/>
    </xf>
    <xf numFmtId="0" fontId="212" fillId="0" borderId="14" xfId="0" applyFont="1" applyFill="1" applyBorder="1"/>
    <xf numFmtId="0" fontId="210" fillId="6" borderId="15" xfId="0" applyFont="1" applyFill="1" applyBorder="1" applyAlignment="1">
      <alignment vertical="center"/>
    </xf>
    <xf numFmtId="0" fontId="212" fillId="6" borderId="14" xfId="0" applyFont="1" applyFill="1" applyBorder="1" applyAlignment="1">
      <alignment vertical="center"/>
    </xf>
    <xf numFmtId="0" fontId="210" fillId="0" borderId="0" xfId="0" applyFont="1" applyAlignment="1">
      <alignment horizontal="right" vertical="center"/>
    </xf>
    <xf numFmtId="0" fontId="210" fillId="8" borderId="14" xfId="0" applyFont="1" applyFill="1" applyBorder="1" applyAlignment="1">
      <alignment vertical="center"/>
    </xf>
    <xf numFmtId="0" fontId="210" fillId="8" borderId="15" xfId="0" applyFont="1" applyFill="1" applyBorder="1" applyAlignment="1">
      <alignment vertical="center"/>
    </xf>
    <xf numFmtId="0" fontId="212" fillId="8" borderId="14" xfId="0" applyFont="1" applyFill="1" applyBorder="1" applyAlignment="1">
      <alignment vertical="center"/>
    </xf>
    <xf numFmtId="0" fontId="212" fillId="9" borderId="14" xfId="0" applyFont="1" applyFill="1" applyBorder="1" applyAlignment="1">
      <alignment vertical="center"/>
    </xf>
    <xf numFmtId="0" fontId="212" fillId="4" borderId="14" xfId="0" applyFont="1" applyFill="1" applyBorder="1" applyAlignment="1">
      <alignment vertical="center"/>
    </xf>
    <xf numFmtId="3" fontId="210" fillId="6" borderId="14" xfId="0" applyNumberFormat="1" applyFont="1" applyFill="1" applyBorder="1" applyAlignment="1">
      <alignment horizontal="center" vertical="center"/>
    </xf>
    <xf numFmtId="6" fontId="209" fillId="6" borderId="14" xfId="0" applyNumberFormat="1" applyFont="1" applyFill="1" applyBorder="1" applyAlignment="1">
      <alignment vertical="center"/>
    </xf>
    <xf numFmtId="169" fontId="59" fillId="4" borderId="0" xfId="14" applyNumberFormat="1" applyFont="1" applyFill="1" applyAlignment="1">
      <alignment horizontal="center" vertical="center"/>
    </xf>
    <xf numFmtId="10" fontId="59" fillId="4" borderId="0" xfId="13" applyNumberFormat="1" applyFont="1" applyFill="1" applyAlignment="1">
      <alignment horizontal="center" vertical="center"/>
    </xf>
    <xf numFmtId="0" fontId="220" fillId="6" borderId="15" xfId="0" applyFont="1" applyFill="1" applyBorder="1" applyAlignment="1">
      <alignment vertical="center"/>
    </xf>
    <xf numFmtId="6" fontId="220" fillId="6" borderId="14" xfId="0" applyNumberFormat="1" applyFont="1" applyFill="1" applyBorder="1" applyAlignment="1">
      <alignment vertical="center"/>
    </xf>
    <xf numFmtId="0" fontId="219" fillId="13" borderId="0" xfId="0" applyFont="1" applyFill="1"/>
    <xf numFmtId="5" fontId="219" fillId="13" borderId="0" xfId="14" applyNumberFormat="1" applyFont="1" applyFill="1"/>
    <xf numFmtId="0" fontId="219" fillId="13" borderId="0" xfId="0" applyFont="1" applyFill="1" applyBorder="1" applyAlignment="1">
      <alignment vertical="center"/>
    </xf>
    <xf numFmtId="0" fontId="219" fillId="13" borderId="0" xfId="0" applyFont="1" applyFill="1" applyBorder="1" applyAlignment="1">
      <alignment horizontal="right" vertical="center"/>
    </xf>
    <xf numFmtId="9" fontId="219" fillId="13" borderId="0" xfId="0" applyNumberFormat="1" applyFont="1" applyFill="1"/>
    <xf numFmtId="9" fontId="219" fillId="13" borderId="0" xfId="13" applyFont="1" applyFill="1"/>
    <xf numFmtId="6" fontId="219" fillId="13" borderId="0" xfId="0" applyNumberFormat="1" applyFont="1" applyFill="1" applyBorder="1" applyAlignment="1">
      <alignment vertical="center"/>
    </xf>
    <xf numFmtId="6" fontId="219" fillId="13" borderId="0" xfId="0" applyNumberFormat="1" applyFont="1" applyFill="1"/>
    <xf numFmtId="169" fontId="210" fillId="13" borderId="0" xfId="14" applyNumberFormat="1" applyFont="1" applyFill="1"/>
    <xf numFmtId="169" fontId="114" fillId="4" borderId="14" xfId="14" applyNumberFormat="1" applyFont="1" applyFill="1" applyBorder="1" applyAlignment="1">
      <alignment horizontal="center" vertical="center"/>
    </xf>
    <xf numFmtId="10" fontId="114" fillId="4" borderId="14" xfId="0" applyNumberFormat="1" applyFont="1" applyFill="1" applyBorder="1" applyAlignment="1">
      <alignment horizontal="center" vertical="center"/>
    </xf>
    <xf numFmtId="6" fontId="209" fillId="6" borderId="14" xfId="0" applyNumberFormat="1" applyFont="1" applyFill="1" applyBorder="1" applyAlignment="1">
      <alignment horizontal="center" vertical="center"/>
    </xf>
    <xf numFmtId="0" fontId="69" fillId="6" borderId="21" xfId="0" applyFont="1" applyFill="1" applyBorder="1" applyAlignment="1">
      <alignment horizontal="center" vertical="center"/>
    </xf>
    <xf numFmtId="169" fontId="69" fillId="6" borderId="21" xfId="14" applyNumberFormat="1" applyFont="1" applyFill="1" applyBorder="1" applyAlignment="1">
      <alignment horizontal="center" vertical="center"/>
    </xf>
    <xf numFmtId="10" fontId="69" fillId="6" borderId="19" xfId="13" applyNumberFormat="1" applyFont="1" applyFill="1" applyBorder="1" applyAlignment="1">
      <alignment horizontal="center" vertical="center"/>
    </xf>
    <xf numFmtId="0" fontId="69" fillId="6" borderId="24" xfId="0" applyFont="1" applyFill="1" applyBorder="1" applyAlignment="1">
      <alignment horizontal="centerContinuous" vertical="center"/>
    </xf>
    <xf numFmtId="0" fontId="69" fillId="6" borderId="0" xfId="0" applyFont="1" applyFill="1" applyBorder="1" applyAlignment="1">
      <alignment horizontal="centerContinuous" vertical="center"/>
    </xf>
    <xf numFmtId="0" fontId="69" fillId="6" borderId="15" xfId="0" applyFont="1" applyFill="1" applyBorder="1" applyAlignment="1">
      <alignment horizontal="centerContinuous" vertical="center"/>
    </xf>
    <xf numFmtId="0" fontId="69" fillId="6" borderId="19" xfId="0" applyFont="1" applyFill="1" applyBorder="1" applyAlignment="1">
      <alignment horizontal="centerContinuous" vertical="center"/>
    </xf>
    <xf numFmtId="1" fontId="69" fillId="6" borderId="14" xfId="0" applyNumberFormat="1" applyFont="1" applyFill="1" applyBorder="1" applyAlignment="1">
      <alignment horizontal="center" vertical="center"/>
    </xf>
    <xf numFmtId="9" fontId="63" fillId="0" borderId="37" xfId="0" applyNumberFormat="1" applyFont="1" applyBorder="1" applyAlignment="1">
      <alignment horizontal="center"/>
    </xf>
    <xf numFmtId="0" fontId="73" fillId="0" borderId="0" xfId="0" applyFont="1" applyBorder="1" applyAlignment="1">
      <alignment horizontal="right"/>
    </xf>
    <xf numFmtId="0" fontId="210" fillId="6" borderId="14" xfId="2" applyFont="1" applyFill="1" applyBorder="1" applyAlignment="1">
      <alignment horizontal="right" vertical="center"/>
    </xf>
    <xf numFmtId="0" fontId="210" fillId="6" borderId="14" xfId="10" applyFont="1" applyFill="1" applyBorder="1" applyAlignment="1">
      <alignment horizontal="right" vertical="center"/>
    </xf>
    <xf numFmtId="0" fontId="193" fillId="2" borderId="0" xfId="0" applyFont="1" applyFill="1" applyBorder="1"/>
    <xf numFmtId="0" fontId="193" fillId="0" borderId="0" xfId="0" applyFont="1" applyBorder="1"/>
    <xf numFmtId="0" fontId="193" fillId="2" borderId="0" xfId="0" applyFont="1" applyFill="1" applyBorder="1" applyAlignment="1">
      <alignment horizontal="right" wrapText="1"/>
    </xf>
    <xf numFmtId="0" fontId="211" fillId="0" borderId="80" xfId="0" applyFont="1" applyBorder="1" applyAlignment="1">
      <alignment horizontal="center" wrapText="1"/>
    </xf>
    <xf numFmtId="0" fontId="211" fillId="0" borderId="84" xfId="0" applyFont="1" applyBorder="1" applyAlignment="1">
      <alignment horizontal="center" wrapText="1"/>
    </xf>
    <xf numFmtId="0" fontId="55" fillId="8" borderId="14" xfId="0" applyFont="1" applyFill="1" applyBorder="1" applyAlignment="1">
      <alignment horizontal="center" vertical="center"/>
    </xf>
    <xf numFmtId="0" fontId="55" fillId="8" borderId="15" xfId="0" applyFont="1" applyFill="1" applyBorder="1" applyAlignment="1">
      <alignment horizontal="center" vertical="center"/>
    </xf>
    <xf numFmtId="0" fontId="55" fillId="7" borderId="0" xfId="3" applyFont="1" applyFill="1" applyBorder="1" applyAlignment="1">
      <alignment horizontal="right" vertical="center"/>
    </xf>
    <xf numFmtId="0" fontId="55" fillId="7" borderId="52" xfId="3" applyFont="1" applyFill="1" applyBorder="1" applyAlignment="1">
      <alignment horizontal="center" vertical="center"/>
    </xf>
    <xf numFmtId="0" fontId="0" fillId="7" borderId="0" xfId="0" applyFill="1"/>
    <xf numFmtId="0" fontId="210" fillId="7" borderId="52" xfId="3" applyFont="1" applyFill="1" applyBorder="1" applyAlignment="1">
      <alignment horizontal="center" vertical="center"/>
    </xf>
    <xf numFmtId="0" fontId="55" fillId="7" borderId="127" xfId="3" applyFont="1" applyFill="1" applyBorder="1" applyAlignment="1">
      <alignment horizontal="center" vertical="center"/>
    </xf>
    <xf numFmtId="0" fontId="54" fillId="7" borderId="48" xfId="3" applyFont="1" applyFill="1" applyBorder="1" applyAlignment="1">
      <alignment horizontal="center" vertical="center"/>
    </xf>
    <xf numFmtId="0" fontId="55" fillId="7" borderId="137" xfId="3" applyFont="1" applyFill="1" applyBorder="1" applyAlignment="1">
      <alignment horizontal="center" vertical="center"/>
    </xf>
    <xf numFmtId="0" fontId="55" fillId="7" borderId="138" xfId="3" applyFont="1" applyFill="1" applyBorder="1" applyAlignment="1">
      <alignment horizontal="center" vertical="center"/>
    </xf>
    <xf numFmtId="0" fontId="55" fillId="7" borderId="139" xfId="3" applyFont="1" applyFill="1" applyBorder="1" applyAlignment="1">
      <alignment horizontal="center" vertical="center"/>
    </xf>
    <xf numFmtId="0" fontId="212" fillId="2" borderId="48" xfId="3" applyFont="1" applyFill="1" applyBorder="1" applyAlignment="1">
      <alignment horizontal="center" vertical="center"/>
    </xf>
    <xf numFmtId="0" fontId="209" fillId="2" borderId="0" xfId="0" applyFont="1" applyFill="1" applyBorder="1"/>
    <xf numFmtId="0" fontId="209" fillId="13" borderId="0" xfId="0" applyFont="1" applyFill="1" applyBorder="1"/>
    <xf numFmtId="0" fontId="209" fillId="0" borderId="0" xfId="0" applyFont="1" applyFill="1" applyBorder="1" applyAlignment="1">
      <alignment horizontal="right"/>
    </xf>
    <xf numFmtId="0" fontId="167" fillId="0" borderId="0" xfId="0" applyFont="1" applyFill="1" applyBorder="1"/>
    <xf numFmtId="0" fontId="221" fillId="0" borderId="0" xfId="0" applyNumberFormat="1" applyFont="1" applyBorder="1" applyAlignment="1">
      <alignment horizontal="center" vertical="center"/>
    </xf>
    <xf numFmtId="0" fontId="169" fillId="4" borderId="14" xfId="0" applyFont="1" applyFill="1" applyBorder="1"/>
    <xf numFmtId="0" fontId="209" fillId="6" borderId="14" xfId="0" applyFont="1" applyFill="1" applyBorder="1" applyAlignment="1">
      <alignment horizontal="right"/>
    </xf>
    <xf numFmtId="9" fontId="218" fillId="3" borderId="38" xfId="0" applyNumberFormat="1" applyFont="1" applyFill="1" applyBorder="1" applyAlignment="1">
      <alignment horizontal="center" vertical="center"/>
    </xf>
    <xf numFmtId="9" fontId="218" fillId="4" borderId="38" xfId="0" applyNumberFormat="1" applyFont="1" applyFill="1" applyBorder="1" applyAlignment="1">
      <alignment horizontal="center" vertical="center"/>
    </xf>
    <xf numFmtId="9" fontId="44" fillId="4" borderId="38" xfId="0" applyNumberFormat="1" applyFont="1" applyFill="1" applyBorder="1" applyAlignment="1">
      <alignment horizontal="center" vertical="center"/>
    </xf>
    <xf numFmtId="9" fontId="44" fillId="3" borderId="38" xfId="0" applyNumberFormat="1" applyFont="1" applyFill="1" applyBorder="1" applyAlignment="1">
      <alignment horizontal="center" vertical="center"/>
    </xf>
    <xf numFmtId="0" fontId="55" fillId="6" borderId="15" xfId="0" applyFont="1" applyFill="1" applyBorder="1" applyAlignment="1">
      <alignment horizontal="center" vertical="center"/>
    </xf>
    <xf numFmtId="0" fontId="55" fillId="6" borderId="16" xfId="0" applyFont="1" applyFill="1" applyBorder="1" applyAlignment="1">
      <alignment horizontal="center" vertical="center"/>
    </xf>
    <xf numFmtId="0" fontId="55" fillId="6" borderId="19" xfId="0" applyFont="1" applyFill="1" applyBorder="1" applyAlignment="1">
      <alignment horizontal="center" vertical="center"/>
    </xf>
    <xf numFmtId="0" fontId="55" fillId="6" borderId="63" xfId="0" applyFont="1" applyFill="1" applyBorder="1" applyAlignment="1">
      <alignment horizontal="center" vertical="center" wrapText="1"/>
    </xf>
    <xf numFmtId="0" fontId="55" fillId="6" borderId="17" xfId="0" applyFont="1" applyFill="1" applyBorder="1" applyAlignment="1">
      <alignment horizontal="center" vertical="center"/>
    </xf>
    <xf numFmtId="0" fontId="55" fillId="6" borderId="18" xfId="0" applyFont="1" applyFill="1" applyBorder="1" applyAlignment="1">
      <alignment horizontal="center" vertical="center"/>
    </xf>
    <xf numFmtId="0" fontId="55" fillId="6" borderId="17" xfId="0" applyFont="1" applyFill="1" applyBorder="1" applyAlignment="1">
      <alignment horizontal="center" vertical="center" wrapText="1"/>
    </xf>
    <xf numFmtId="0" fontId="55" fillId="6" borderId="18" xfId="0" applyFont="1" applyFill="1" applyBorder="1" applyAlignment="1">
      <alignment horizontal="center" vertical="center" wrapText="1"/>
    </xf>
    <xf numFmtId="0" fontId="55" fillId="6" borderId="63" xfId="0" applyFont="1" applyFill="1" applyBorder="1" applyAlignment="1">
      <alignment horizontal="center" vertical="center"/>
    </xf>
    <xf numFmtId="0" fontId="55" fillId="6" borderId="15" xfId="0" applyFont="1" applyFill="1" applyBorder="1" applyAlignment="1">
      <alignment horizontal="center" vertical="center" wrapText="1"/>
    </xf>
    <xf numFmtId="0" fontId="55" fillId="6" borderId="16" xfId="0" applyFont="1" applyFill="1" applyBorder="1" applyAlignment="1">
      <alignment horizontal="center" vertical="center" wrapText="1"/>
    </xf>
    <xf numFmtId="0" fontId="55" fillId="6" borderId="19" xfId="0" applyFont="1" applyFill="1" applyBorder="1" applyAlignment="1">
      <alignment horizontal="center" vertical="center" wrapText="1"/>
    </xf>
    <xf numFmtId="49" fontId="54" fillId="0" borderId="0" xfId="10" applyNumberFormat="1" applyFont="1" applyFill="1" applyBorder="1" applyAlignment="1">
      <alignment horizontal="center" vertical="center"/>
    </xf>
    <xf numFmtId="0" fontId="55" fillId="0" borderId="38" xfId="0" applyFont="1" applyFill="1" applyBorder="1" applyAlignment="1">
      <alignment horizontal="center" vertical="center"/>
    </xf>
    <xf numFmtId="0" fontId="55" fillId="0" borderId="75" xfId="0" applyFont="1" applyFill="1" applyBorder="1" applyAlignment="1">
      <alignment horizontal="center" vertical="center"/>
    </xf>
    <xf numFmtId="0" fontId="55" fillId="0" borderId="25" xfId="0" applyFont="1" applyFill="1" applyBorder="1" applyAlignment="1">
      <alignment horizontal="center" vertical="center"/>
    </xf>
    <xf numFmtId="164" fontId="55" fillId="6" borderId="14" xfId="0" applyNumberFormat="1" applyFont="1" applyFill="1" applyBorder="1" applyAlignment="1">
      <alignment horizontal="center" vertical="center"/>
    </xf>
    <xf numFmtId="164" fontId="54" fillId="3" borderId="15" xfId="0" applyNumberFormat="1" applyFont="1" applyFill="1" applyBorder="1" applyAlignment="1">
      <alignment horizontal="center" vertical="center"/>
    </xf>
    <xf numFmtId="164" fontId="54" fillId="3" borderId="14" xfId="0" applyNumberFormat="1" applyFont="1" applyFill="1" applyBorder="1" applyAlignment="1">
      <alignment horizontal="center" vertical="center"/>
    </xf>
    <xf numFmtId="164" fontId="210" fillId="6" borderId="14" xfId="0" applyNumberFormat="1" applyFont="1" applyFill="1" applyBorder="1" applyAlignment="1">
      <alignment horizontal="center" vertical="center"/>
    </xf>
    <xf numFmtId="0" fontId="55" fillId="6" borderId="14" xfId="0" quotePrefix="1" applyFont="1" applyFill="1" applyBorder="1" applyAlignment="1">
      <alignment horizontal="center" vertical="center" wrapText="1"/>
    </xf>
    <xf numFmtId="0" fontId="55" fillId="0" borderId="0" xfId="2" applyFont="1"/>
    <xf numFmtId="0" fontId="54" fillId="6" borderId="144" xfId="2" applyFont="1" applyFill="1" applyBorder="1" applyAlignment="1">
      <alignment horizontal="center" vertical="center"/>
    </xf>
    <xf numFmtId="2" fontId="54" fillId="3" borderId="55" xfId="0" applyNumberFormat="1" applyFont="1" applyFill="1" applyBorder="1" applyAlignment="1">
      <alignment horizontal="center" vertical="center" wrapText="1"/>
    </xf>
    <xf numFmtId="0" fontId="210" fillId="6" borderId="145" xfId="0" applyNumberFormat="1" applyFont="1" applyFill="1" applyBorder="1" applyAlignment="1">
      <alignment horizontal="center" vertical="center"/>
    </xf>
    <xf numFmtId="0" fontId="210" fillId="0" borderId="145" xfId="0" applyNumberFormat="1" applyFont="1" applyFill="1" applyBorder="1" applyAlignment="1">
      <alignment horizontal="center" vertical="center"/>
    </xf>
    <xf numFmtId="3" fontId="209" fillId="6" borderId="14" xfId="0" applyNumberFormat="1" applyFont="1" applyFill="1" applyBorder="1" applyAlignment="1">
      <alignment horizontal="center" vertical="center"/>
    </xf>
    <xf numFmtId="6" fontId="169" fillId="6" borderId="14" xfId="0" applyNumberFormat="1" applyFont="1" applyFill="1" applyBorder="1" applyAlignment="1">
      <alignment horizontal="center" vertical="center"/>
    </xf>
    <xf numFmtId="3" fontId="169" fillId="6" borderId="14" xfId="0" applyNumberFormat="1" applyFont="1" applyFill="1" applyBorder="1" applyAlignment="1">
      <alignment horizontal="center" vertical="center"/>
    </xf>
    <xf numFmtId="0" fontId="209" fillId="6" borderId="14" xfId="2" applyFont="1" applyFill="1" applyBorder="1" applyAlignment="1">
      <alignment horizontal="center"/>
    </xf>
    <xf numFmtId="0" fontId="210" fillId="0" borderId="59" xfId="0" applyFont="1" applyBorder="1" applyAlignment="1">
      <alignment vertical="center" wrapText="1"/>
    </xf>
    <xf numFmtId="0" fontId="210" fillId="6" borderId="49" xfId="0" applyFont="1" applyFill="1" applyBorder="1" applyAlignment="1">
      <alignment vertical="center" wrapText="1"/>
    </xf>
    <xf numFmtId="0" fontId="210" fillId="0" borderId="49" xfId="0" applyFont="1" applyFill="1" applyBorder="1" applyAlignment="1">
      <alignment vertical="center" wrapText="1"/>
    </xf>
    <xf numFmtId="0" fontId="210" fillId="0" borderId="49" xfId="0" applyFont="1" applyBorder="1" applyAlignment="1">
      <alignment vertical="center" wrapText="1"/>
    </xf>
    <xf numFmtId="0" fontId="210" fillId="6" borderId="14" xfId="2" applyFont="1" applyFill="1" applyBorder="1" applyAlignment="1">
      <alignment horizontal="center" vertical="center"/>
    </xf>
    <xf numFmtId="1" fontId="210" fillId="6" borderId="14" xfId="2" applyNumberFormat="1" applyFont="1" applyFill="1" applyBorder="1" applyAlignment="1">
      <alignment horizontal="center" vertical="center"/>
    </xf>
    <xf numFmtId="49" fontId="209" fillId="6" borderId="39" xfId="2" applyNumberFormat="1" applyFont="1" applyFill="1" applyBorder="1" applyAlignment="1">
      <alignment horizontal="center" vertical="center"/>
    </xf>
    <xf numFmtId="49" fontId="209" fillId="6" borderId="40" xfId="2" applyNumberFormat="1" applyFont="1" applyFill="1" applyBorder="1" applyAlignment="1">
      <alignment horizontal="center" vertical="center"/>
    </xf>
    <xf numFmtId="1" fontId="209" fillId="6" borderId="39" xfId="2" applyNumberFormat="1" applyFont="1" applyFill="1" applyBorder="1" applyAlignment="1">
      <alignment horizontal="center" vertical="center"/>
    </xf>
    <xf numFmtId="0" fontId="209" fillId="6" borderId="40" xfId="2" applyNumberFormat="1" applyFont="1" applyFill="1" applyBorder="1" applyAlignment="1">
      <alignment horizontal="center" vertical="center"/>
    </xf>
    <xf numFmtId="1" fontId="209" fillId="6" borderId="40" xfId="2" applyNumberFormat="1" applyFont="1" applyFill="1" applyBorder="1" applyAlignment="1">
      <alignment horizontal="center" vertical="center"/>
    </xf>
    <xf numFmtId="0" fontId="209" fillId="6" borderId="39" xfId="2" applyNumberFormat="1" applyFont="1" applyFill="1" applyBorder="1" applyAlignment="1">
      <alignment horizontal="center" vertical="center"/>
    </xf>
    <xf numFmtId="1" fontId="209" fillId="6" borderId="15" xfId="2" applyNumberFormat="1" applyFont="1" applyFill="1" applyBorder="1" applyAlignment="1">
      <alignment horizontal="center" vertical="center"/>
    </xf>
    <xf numFmtId="0" fontId="209" fillId="6" borderId="15" xfId="2" applyNumberFormat="1" applyFont="1" applyFill="1" applyBorder="1" applyAlignment="1">
      <alignment horizontal="center" vertical="center"/>
    </xf>
    <xf numFmtId="1" fontId="210" fillId="2" borderId="50" xfId="3" applyNumberFormat="1" applyFont="1" applyFill="1" applyBorder="1" applyAlignment="1">
      <alignment horizontal="center" vertical="center"/>
    </xf>
    <xf numFmtId="0" fontId="210" fillId="0" borderId="50" xfId="3" applyNumberFormat="1" applyFont="1" applyBorder="1" applyAlignment="1">
      <alignment horizontal="center" vertical="center"/>
    </xf>
    <xf numFmtId="1" fontId="210" fillId="2" borderId="52" xfId="3" applyNumberFormat="1" applyFont="1" applyFill="1" applyBorder="1" applyAlignment="1">
      <alignment horizontal="center" vertical="center"/>
    </xf>
    <xf numFmtId="9" fontId="38" fillId="0" borderId="0" xfId="13" applyFont="1" applyBorder="1"/>
    <xf numFmtId="0" fontId="59" fillId="4" borderId="0" xfId="0" applyFont="1" applyFill="1" applyAlignment="1">
      <alignment horizontal="centerContinuous" vertical="center"/>
    </xf>
    <xf numFmtId="9" fontId="69" fillId="6" borderId="14" xfId="13" applyFont="1" applyFill="1" applyBorder="1" applyAlignment="1">
      <alignment vertical="center"/>
    </xf>
    <xf numFmtId="9" fontId="114" fillId="4" borderId="14" xfId="13" applyFont="1" applyFill="1" applyBorder="1" applyAlignment="1">
      <alignment vertical="center"/>
    </xf>
    <xf numFmtId="169" fontId="209" fillId="6" borderId="14" xfId="0" applyNumberFormat="1" applyFont="1" applyFill="1" applyBorder="1" applyAlignment="1">
      <alignment horizontal="center" vertical="center"/>
    </xf>
    <xf numFmtId="0" fontId="209" fillId="6" borderId="21" xfId="0" applyFont="1" applyFill="1" applyBorder="1" applyAlignment="1">
      <alignment horizontal="center" vertical="center"/>
    </xf>
    <xf numFmtId="169" fontId="209" fillId="6" borderId="21" xfId="14" applyNumberFormat="1" applyFont="1" applyFill="1" applyBorder="1" applyAlignment="1">
      <alignment horizontal="center" vertical="center"/>
    </xf>
    <xf numFmtId="10" fontId="209" fillId="6" borderId="19" xfId="13" applyNumberFormat="1" applyFont="1" applyFill="1" applyBorder="1" applyAlignment="1">
      <alignment horizontal="center" vertical="center"/>
    </xf>
    <xf numFmtId="6" fontId="210" fillId="13" borderId="0" xfId="0" applyNumberFormat="1" applyFont="1" applyFill="1" applyBorder="1" applyAlignment="1">
      <alignment vertical="center"/>
    </xf>
    <xf numFmtId="9" fontId="168" fillId="0" borderId="0" xfId="0" applyNumberFormat="1" applyFont="1" applyAlignment="1">
      <alignment horizontal="left"/>
    </xf>
    <xf numFmtId="0" fontId="55" fillId="6" borderId="19" xfId="0" applyFont="1" applyFill="1" applyBorder="1" applyAlignment="1">
      <alignment horizontal="left" vertical="center"/>
    </xf>
    <xf numFmtId="0" fontId="55" fillId="6" borderId="15" xfId="0" applyFont="1" applyFill="1" applyBorder="1" applyAlignment="1">
      <alignment horizontal="left" vertical="center"/>
    </xf>
    <xf numFmtId="49" fontId="148" fillId="0" borderId="0" xfId="0" applyNumberFormat="1" applyFont="1" applyAlignment="1">
      <alignment horizontal="left" wrapText="1"/>
    </xf>
    <xf numFmtId="0" fontId="209" fillId="0" borderId="0" xfId="2" applyFont="1"/>
    <xf numFmtId="167" fontId="223" fillId="4" borderId="14" xfId="0" applyNumberFormat="1" applyFont="1" applyFill="1" applyBorder="1" applyAlignment="1">
      <alignment vertical="center"/>
    </xf>
    <xf numFmtId="167" fontId="209" fillId="0" borderId="14" xfId="0" applyNumberFormat="1" applyFont="1" applyBorder="1" applyAlignment="1">
      <alignment vertical="center"/>
    </xf>
    <xf numFmtId="167" fontId="209" fillId="0" borderId="14" xfId="0" applyNumberFormat="1" applyFont="1" applyFill="1" applyBorder="1" applyAlignment="1">
      <alignment vertical="center"/>
    </xf>
    <xf numFmtId="9" fontId="212" fillId="3" borderId="49" xfId="0" applyNumberFormat="1" applyFont="1" applyFill="1" applyBorder="1" applyAlignment="1">
      <alignment vertical="center" wrapText="1"/>
    </xf>
    <xf numFmtId="9" fontId="17" fillId="0" borderId="0" xfId="13" applyNumberFormat="1" applyFont="1"/>
    <xf numFmtId="9" fontId="17" fillId="0" borderId="0" xfId="2" applyNumberFormat="1" applyFont="1" applyAlignment="1">
      <alignment horizontal="centerContinuous"/>
    </xf>
    <xf numFmtId="9" fontId="23" fillId="0" borderId="0" xfId="13" applyNumberFormat="1" applyFont="1"/>
    <xf numFmtId="9" fontId="17" fillId="0" borderId="0" xfId="2" applyNumberFormat="1" applyFont="1" applyAlignment="1">
      <alignment horizontal="center"/>
    </xf>
    <xf numFmtId="168" fontId="209" fillId="0" borderId="38" xfId="0" applyNumberFormat="1" applyFont="1" applyFill="1" applyBorder="1" applyAlignment="1">
      <alignment vertical="center"/>
    </xf>
    <xf numFmtId="167" fontId="97" fillId="4" borderId="15" xfId="0" applyNumberFormat="1" applyFont="1" applyFill="1" applyBorder="1" applyAlignment="1">
      <alignment vertical="center"/>
    </xf>
    <xf numFmtId="168" fontId="210" fillId="0" borderId="75" xfId="0" applyNumberFormat="1" applyFont="1" applyBorder="1" applyAlignment="1">
      <alignment vertical="center"/>
    </xf>
    <xf numFmtId="167" fontId="223" fillId="4" borderId="146" xfId="0" applyNumberFormat="1" applyFont="1" applyFill="1" applyBorder="1" applyAlignment="1">
      <alignment vertical="center"/>
    </xf>
    <xf numFmtId="167" fontId="97" fillId="4" borderId="15" xfId="0" applyNumberFormat="1" applyFont="1" applyFill="1" applyBorder="1" applyAlignment="1">
      <alignment horizontal="right" vertical="center"/>
    </xf>
    <xf numFmtId="167" fontId="223" fillId="4" borderId="146" xfId="0" applyNumberFormat="1" applyFont="1" applyFill="1" applyBorder="1" applyAlignment="1">
      <alignment horizontal="center" vertical="center"/>
    </xf>
    <xf numFmtId="168" fontId="210" fillId="0" borderId="75" xfId="0" applyNumberFormat="1" applyFont="1" applyBorder="1" applyAlignment="1">
      <alignment horizontal="center" vertical="center"/>
    </xf>
    <xf numFmtId="0" fontId="40" fillId="6" borderId="15" xfId="0" applyFont="1" applyFill="1" applyBorder="1" applyAlignment="1">
      <alignment horizontal="center" vertical="center"/>
    </xf>
    <xf numFmtId="0" fontId="114" fillId="4" borderId="149" xfId="0" applyFont="1" applyFill="1" applyBorder="1" applyAlignment="1">
      <alignment horizontal="center" vertical="center" wrapText="1"/>
    </xf>
    <xf numFmtId="0" fontId="167" fillId="6" borderId="151" xfId="0" applyFont="1" applyFill="1" applyBorder="1" applyAlignment="1">
      <alignment horizontal="center" vertical="center"/>
    </xf>
    <xf numFmtId="0" fontId="0" fillId="0" borderId="150" xfId="0" applyBorder="1"/>
    <xf numFmtId="3" fontId="55" fillId="6" borderId="38" xfId="0" applyNumberFormat="1" applyFont="1" applyFill="1" applyBorder="1" applyAlignment="1">
      <alignment horizontal="center" vertical="center"/>
    </xf>
    <xf numFmtId="3" fontId="55" fillId="6" borderId="25" xfId="0" applyNumberFormat="1" applyFont="1" applyFill="1" applyBorder="1" applyAlignment="1">
      <alignment horizontal="center" vertical="center"/>
    </xf>
    <xf numFmtId="3" fontId="210" fillId="6" borderId="38" xfId="0" applyNumberFormat="1" applyFont="1" applyFill="1" applyBorder="1" applyAlignment="1">
      <alignment horizontal="center" vertical="center"/>
    </xf>
    <xf numFmtId="3" fontId="210" fillId="6" borderId="25" xfId="0" applyNumberFormat="1" applyFont="1" applyFill="1" applyBorder="1" applyAlignment="1">
      <alignment horizontal="center" vertical="center"/>
    </xf>
    <xf numFmtId="0" fontId="55" fillId="0" borderId="0" xfId="0" applyFont="1" applyBorder="1" applyAlignment="1">
      <alignment horizontal="left" wrapText="1"/>
    </xf>
    <xf numFmtId="0" fontId="55" fillId="0" borderId="0" xfId="0" applyFont="1" applyBorder="1" applyAlignment="1">
      <alignment vertical="top" wrapText="1"/>
    </xf>
    <xf numFmtId="14" fontId="54" fillId="0" borderId="0" xfId="3" applyNumberFormat="1" applyFont="1" applyFill="1" applyBorder="1" applyAlignment="1">
      <alignment horizontal="center" vertical="center"/>
    </xf>
    <xf numFmtId="0" fontId="51" fillId="0" borderId="0" xfId="3" applyFont="1" applyFill="1" applyBorder="1" applyAlignment="1">
      <alignment horizontal="center" vertical="center"/>
    </xf>
    <xf numFmtId="0" fontId="51" fillId="0" borderId="0" xfId="10" applyFont="1" applyFill="1" applyBorder="1" applyAlignment="1">
      <alignment horizontal="center" vertical="center"/>
    </xf>
    <xf numFmtId="0" fontId="87" fillId="0" borderId="140" xfId="0" applyFont="1" applyFill="1" applyBorder="1" applyAlignment="1">
      <alignment horizontal="center" vertical="center"/>
    </xf>
    <xf numFmtId="0" fontId="87" fillId="0" borderId="141" xfId="0" applyFont="1" applyFill="1" applyBorder="1" applyAlignment="1">
      <alignment horizontal="center" vertical="center"/>
    </xf>
    <xf numFmtId="0" fontId="87" fillId="0" borderId="143" xfId="0" applyFont="1" applyFill="1" applyBorder="1" applyAlignment="1">
      <alignment horizontal="center" vertical="center"/>
    </xf>
    <xf numFmtId="0" fontId="210" fillId="2" borderId="140" xfId="10" applyFont="1" applyFill="1" applyBorder="1" applyAlignment="1">
      <alignment horizontal="center" vertical="center"/>
    </xf>
    <xf numFmtId="0" fontId="210" fillId="2" borderId="141" xfId="10" applyFont="1" applyFill="1" applyBorder="1" applyAlignment="1">
      <alignment horizontal="center" vertical="center"/>
    </xf>
    <xf numFmtId="0" fontId="210" fillId="2" borderId="143" xfId="10" applyFont="1" applyFill="1" applyBorder="1" applyAlignment="1">
      <alignment horizontal="center" vertical="center"/>
    </xf>
    <xf numFmtId="0" fontId="210" fillId="0" borderId="140" xfId="0" applyFont="1" applyFill="1" applyBorder="1" applyAlignment="1">
      <alignment horizontal="center" vertical="center"/>
    </xf>
    <xf numFmtId="0" fontId="210" fillId="0" borderId="141" xfId="0" applyFont="1" applyFill="1" applyBorder="1" applyAlignment="1">
      <alignment horizontal="center" vertical="center"/>
    </xf>
    <xf numFmtId="0" fontId="210" fillId="0" borderId="143" xfId="0" applyFont="1" applyFill="1" applyBorder="1" applyAlignment="1">
      <alignment horizontal="center" vertical="center"/>
    </xf>
    <xf numFmtId="0" fontId="15" fillId="3" borderId="47" xfId="3" applyFont="1" applyFill="1" applyBorder="1" applyAlignment="1">
      <alignment horizontal="center" vertical="center"/>
    </xf>
    <xf numFmtId="0" fontId="87" fillId="0" borderId="76" xfId="0" applyFont="1" applyFill="1" applyBorder="1" applyAlignment="1">
      <alignment horizontal="center" vertical="center"/>
    </xf>
    <xf numFmtId="0" fontId="87" fillId="0" borderId="77" xfId="0" applyFont="1" applyFill="1" applyBorder="1" applyAlignment="1">
      <alignment horizontal="center" vertical="center"/>
    </xf>
    <xf numFmtId="0" fontId="213" fillId="2" borderId="135" xfId="10" applyFont="1" applyFill="1" applyBorder="1" applyAlignment="1">
      <alignment horizontal="center" vertical="center"/>
    </xf>
    <xf numFmtId="0" fontId="213" fillId="2" borderId="136" xfId="10" applyFont="1" applyFill="1" applyBorder="1" applyAlignment="1">
      <alignment horizontal="center" vertical="center"/>
    </xf>
    <xf numFmtId="0" fontId="213" fillId="0" borderId="76" xfId="0" applyFont="1" applyFill="1" applyBorder="1" applyAlignment="1">
      <alignment horizontal="center" vertical="center"/>
    </xf>
    <xf numFmtId="0" fontId="213" fillId="0" borderId="77" xfId="0" applyFont="1" applyFill="1" applyBorder="1" applyAlignment="1">
      <alignment horizontal="center" vertical="center"/>
    </xf>
    <xf numFmtId="0" fontId="15" fillId="3" borderId="0" xfId="3" applyFont="1" applyFill="1" applyBorder="1" applyAlignment="1">
      <alignment horizontal="center" vertical="center"/>
    </xf>
    <xf numFmtId="0" fontId="87" fillId="0" borderId="142" xfId="0" applyFont="1" applyFill="1" applyBorder="1" applyAlignment="1">
      <alignment horizontal="center" vertical="center"/>
    </xf>
    <xf numFmtId="0" fontId="213" fillId="2" borderId="140" xfId="10" applyFont="1" applyFill="1" applyBorder="1" applyAlignment="1">
      <alignment horizontal="center" vertical="center"/>
    </xf>
    <xf numFmtId="0" fontId="213" fillId="2" borderId="141" xfId="10" applyFont="1" applyFill="1" applyBorder="1" applyAlignment="1">
      <alignment horizontal="center" vertical="center"/>
    </xf>
    <xf numFmtId="0" fontId="213" fillId="2" borderId="142" xfId="10" applyFont="1" applyFill="1" applyBorder="1" applyAlignment="1">
      <alignment horizontal="center" vertical="center"/>
    </xf>
    <xf numFmtId="0" fontId="213" fillId="0" borderId="140" xfId="0" applyFont="1" applyFill="1" applyBorder="1" applyAlignment="1">
      <alignment horizontal="center" vertical="center"/>
    </xf>
    <xf numFmtId="0" fontId="213" fillId="0" borderId="141" xfId="0" applyFont="1" applyFill="1" applyBorder="1" applyAlignment="1">
      <alignment horizontal="center" vertical="center"/>
    </xf>
    <xf numFmtId="0" fontId="213" fillId="0" borderId="142" xfId="0" applyFont="1" applyFill="1" applyBorder="1" applyAlignment="1">
      <alignment horizontal="center" vertical="center"/>
    </xf>
    <xf numFmtId="0" fontId="15" fillId="3" borderId="58" xfId="3" applyFont="1" applyFill="1" applyBorder="1" applyAlignment="1">
      <alignment horizontal="center" vertical="center"/>
    </xf>
    <xf numFmtId="0" fontId="15" fillId="3" borderId="6" xfId="3" applyFont="1" applyFill="1" applyBorder="1" applyAlignment="1">
      <alignment horizontal="center" vertical="center"/>
    </xf>
    <xf numFmtId="0" fontId="15" fillId="3" borderId="9" xfId="3" applyFont="1" applyFill="1" applyBorder="1" applyAlignment="1">
      <alignment horizontal="center" vertical="center"/>
    </xf>
    <xf numFmtId="0" fontId="15" fillId="3" borderId="56" xfId="3" applyFont="1" applyFill="1" applyBorder="1" applyAlignment="1">
      <alignment horizontal="center" vertical="center"/>
    </xf>
    <xf numFmtId="0" fontId="15" fillId="3" borderId="5" xfId="3" applyFont="1" applyFill="1" applyBorder="1" applyAlignment="1">
      <alignment horizontal="center" vertical="center"/>
    </xf>
    <xf numFmtId="9" fontId="55" fillId="0" borderId="54" xfId="3" applyNumberFormat="1" applyFont="1" applyFill="1" applyBorder="1" applyAlignment="1">
      <alignment horizontal="center" vertical="center"/>
    </xf>
    <xf numFmtId="9" fontId="55" fillId="0" borderId="103" xfId="3" applyNumberFormat="1" applyFont="1" applyFill="1" applyBorder="1" applyAlignment="1">
      <alignment horizontal="center" vertical="center"/>
    </xf>
    <xf numFmtId="9" fontId="55" fillId="0" borderId="104" xfId="3" applyNumberFormat="1" applyFont="1" applyFill="1" applyBorder="1" applyAlignment="1">
      <alignment horizontal="center" vertical="center"/>
    </xf>
    <xf numFmtId="9" fontId="55" fillId="0" borderId="10" xfId="3" applyNumberFormat="1" applyFont="1" applyFill="1" applyBorder="1" applyAlignment="1">
      <alignment horizontal="center" vertical="center"/>
    </xf>
    <xf numFmtId="9" fontId="55" fillId="0" borderId="11" xfId="3" applyNumberFormat="1" applyFont="1" applyFill="1" applyBorder="1" applyAlignment="1">
      <alignment horizontal="center" vertical="center"/>
    </xf>
    <xf numFmtId="9" fontId="55" fillId="0" borderId="12" xfId="3" applyNumberFormat="1" applyFont="1" applyFill="1" applyBorder="1" applyAlignment="1">
      <alignment horizontal="center" vertical="center"/>
    </xf>
    <xf numFmtId="0" fontId="213" fillId="2" borderId="78" xfId="10" applyFont="1" applyFill="1" applyBorder="1" applyAlignment="1">
      <alignment horizontal="center" vertical="center"/>
    </xf>
    <xf numFmtId="0" fontId="213" fillId="2" borderId="79" xfId="10" applyFont="1" applyFill="1" applyBorder="1" applyAlignment="1">
      <alignment horizontal="center" vertical="center"/>
    </xf>
    <xf numFmtId="0" fontId="213" fillId="0" borderId="78" xfId="0" applyFont="1" applyFill="1" applyBorder="1" applyAlignment="1">
      <alignment horizontal="center" vertical="center"/>
    </xf>
    <xf numFmtId="0" fontId="213" fillId="0" borderId="79" xfId="0" applyFont="1" applyFill="1" applyBorder="1" applyAlignment="1">
      <alignment horizontal="center" vertical="center"/>
    </xf>
    <xf numFmtId="0" fontId="15" fillId="3" borderId="7" xfId="3" applyFont="1" applyFill="1" applyBorder="1" applyAlignment="1">
      <alignment horizontal="center" vertical="center"/>
    </xf>
    <xf numFmtId="0" fontId="15" fillId="3" borderId="57" xfId="3" applyFont="1" applyFill="1" applyBorder="1" applyAlignment="1">
      <alignment horizontal="center" vertical="center"/>
    </xf>
    <xf numFmtId="0" fontId="15" fillId="3" borderId="8" xfId="3" applyFont="1" applyFill="1" applyBorder="1" applyAlignment="1">
      <alignment horizontal="center" vertical="center"/>
    </xf>
    <xf numFmtId="0" fontId="6" fillId="0" borderId="7" xfId="6" applyFont="1" applyBorder="1" applyAlignment="1">
      <alignment horizontal="center" vertical="center" wrapText="1"/>
    </xf>
    <xf numFmtId="0" fontId="6" fillId="0" borderId="5" xfId="6" applyFont="1" applyBorder="1" applyAlignment="1">
      <alignment horizontal="center" vertical="center" wrapText="1"/>
    </xf>
    <xf numFmtId="0" fontId="6" fillId="0" borderId="9" xfId="6" applyFont="1" applyBorder="1" applyAlignment="1">
      <alignment horizontal="center" vertical="center" wrapText="1"/>
    </xf>
    <xf numFmtId="0" fontId="6" fillId="0" borderId="6" xfId="6" applyFont="1" applyBorder="1" applyAlignment="1">
      <alignment horizontal="center" vertical="center" wrapText="1"/>
    </xf>
    <xf numFmtId="0" fontId="6" fillId="0" borderId="61" xfId="6" applyFont="1" applyBorder="1" applyAlignment="1">
      <alignment horizontal="center" vertical="center" wrapText="1"/>
    </xf>
    <xf numFmtId="0" fontId="6" fillId="0" borderId="29" xfId="6" applyFont="1" applyBorder="1" applyAlignment="1">
      <alignment horizontal="center" vertical="center" wrapText="1"/>
    </xf>
    <xf numFmtId="0" fontId="6" fillId="0" borderId="7" xfId="6" applyFont="1" applyBorder="1" applyAlignment="1">
      <alignment horizontal="center" vertical="center"/>
    </xf>
    <xf numFmtId="0" fontId="6" fillId="0" borderId="8" xfId="6" applyFont="1" applyBorder="1" applyAlignment="1">
      <alignment horizontal="center" vertical="center"/>
    </xf>
    <xf numFmtId="0" fontId="54" fillId="6" borderId="0" xfId="0" applyFont="1" applyFill="1" applyAlignment="1">
      <alignment horizontal="center" vertical="center" readingOrder="1"/>
    </xf>
    <xf numFmtId="0" fontId="6" fillId="0" borderId="9" xfId="6" applyFont="1" applyBorder="1" applyAlignment="1">
      <alignment horizontal="center" vertical="center"/>
    </xf>
    <xf numFmtId="0" fontId="23" fillId="0" borderId="0" xfId="2" applyFont="1" applyAlignment="1">
      <alignment horizontal="center" vertical="center" wrapText="1"/>
    </xf>
    <xf numFmtId="0" fontId="17" fillId="0" borderId="0" xfId="2" applyFont="1" applyAlignment="1">
      <alignment horizontal="center" wrapText="1"/>
    </xf>
    <xf numFmtId="0" fontId="6" fillId="0" borderId="57" xfId="6" applyFont="1" applyBorder="1" applyAlignment="1">
      <alignment horizontal="center" vertical="center"/>
    </xf>
    <xf numFmtId="0" fontId="6" fillId="0" borderId="60" xfId="6" applyFont="1" applyBorder="1" applyAlignment="1">
      <alignment horizontal="center" vertical="center"/>
    </xf>
    <xf numFmtId="0" fontId="6" fillId="0" borderId="56" xfId="6" applyFont="1" applyBorder="1" applyAlignment="1">
      <alignment horizontal="center" vertical="center"/>
    </xf>
    <xf numFmtId="0" fontId="55" fillId="6" borderId="15" xfId="0" applyFont="1" applyFill="1" applyBorder="1" applyAlignment="1">
      <alignment horizontal="center" vertical="center" wrapText="1"/>
    </xf>
    <xf numFmtId="0" fontId="55" fillId="6" borderId="16" xfId="0" applyFont="1" applyFill="1" applyBorder="1" applyAlignment="1">
      <alignment horizontal="center" vertical="center" wrapText="1"/>
    </xf>
    <xf numFmtId="0" fontId="55" fillId="6" borderId="19" xfId="0" applyFont="1" applyFill="1" applyBorder="1" applyAlignment="1">
      <alignment horizontal="center" vertical="center" wrapText="1"/>
    </xf>
    <xf numFmtId="0" fontId="55" fillId="6" borderId="15" xfId="0" applyFont="1" applyFill="1" applyBorder="1" applyAlignment="1">
      <alignment horizontal="center" vertical="center"/>
    </xf>
    <xf numFmtId="0" fontId="55" fillId="6" borderId="16" xfId="0" applyFont="1" applyFill="1" applyBorder="1" applyAlignment="1">
      <alignment horizontal="center" vertical="center"/>
    </xf>
    <xf numFmtId="0" fontId="55" fillId="6" borderId="19" xfId="0" applyFont="1" applyFill="1" applyBorder="1" applyAlignment="1">
      <alignment horizontal="center" vertical="center"/>
    </xf>
    <xf numFmtId="0" fontId="55" fillId="0" borderId="14" xfId="0" applyFont="1" applyFill="1" applyBorder="1" applyAlignment="1">
      <alignment horizontal="center" vertical="center"/>
    </xf>
    <xf numFmtId="0" fontId="55" fillId="6" borderId="63" xfId="0" applyFont="1" applyFill="1" applyBorder="1" applyAlignment="1">
      <alignment horizontal="center" vertical="center" wrapText="1"/>
    </xf>
    <xf numFmtId="0" fontId="55" fillId="6" borderId="17" xfId="0" applyFont="1" applyFill="1" applyBorder="1" applyAlignment="1">
      <alignment horizontal="center" vertical="center"/>
    </xf>
    <xf numFmtId="0" fontId="55" fillId="6" borderId="18" xfId="0" applyFont="1" applyFill="1" applyBorder="1" applyAlignment="1">
      <alignment horizontal="center" vertical="center"/>
    </xf>
    <xf numFmtId="0" fontId="55" fillId="6" borderId="17" xfId="0" applyFont="1" applyFill="1" applyBorder="1" applyAlignment="1">
      <alignment horizontal="center" vertical="center" wrapText="1"/>
    </xf>
    <xf numFmtId="0" fontId="55" fillId="6" borderId="18" xfId="0" applyFont="1" applyFill="1" applyBorder="1" applyAlignment="1">
      <alignment horizontal="center" vertical="center" wrapText="1"/>
    </xf>
    <xf numFmtId="0" fontId="55" fillId="6" borderId="63" xfId="0" applyFont="1" applyFill="1" applyBorder="1" applyAlignment="1">
      <alignment horizontal="center" vertical="center"/>
    </xf>
    <xf numFmtId="14" fontId="54" fillId="0" borderId="0" xfId="0" applyNumberFormat="1" applyFont="1" applyFill="1" applyBorder="1" applyAlignment="1">
      <alignment horizontal="center" vertical="center"/>
    </xf>
    <xf numFmtId="0" fontId="54" fillId="0" borderId="0" xfId="0" applyFont="1" applyFill="1" applyBorder="1" applyAlignment="1">
      <alignment horizontal="center" vertical="center"/>
    </xf>
    <xf numFmtId="14" fontId="53" fillId="0" borderId="0" xfId="0" applyNumberFormat="1" applyFont="1" applyAlignment="1">
      <alignment horizontal="center"/>
    </xf>
    <xf numFmtId="14" fontId="53" fillId="0" borderId="131" xfId="0" applyNumberFormat="1" applyFont="1" applyBorder="1" applyAlignment="1">
      <alignment horizontal="center"/>
    </xf>
    <xf numFmtId="9" fontId="59" fillId="4" borderId="31" xfId="0" applyNumberFormat="1" applyFont="1" applyFill="1" applyBorder="1" applyAlignment="1">
      <alignment horizontal="center" vertical="center" wrapText="1"/>
    </xf>
    <xf numFmtId="9" fontId="59" fillId="4" borderId="51" xfId="0" applyNumberFormat="1" applyFont="1" applyFill="1" applyBorder="1" applyAlignment="1">
      <alignment horizontal="center" vertical="center"/>
    </xf>
    <xf numFmtId="9" fontId="59" fillId="4" borderId="31" xfId="0" applyNumberFormat="1" applyFont="1" applyFill="1" applyBorder="1" applyAlignment="1">
      <alignment horizontal="center" vertical="center"/>
    </xf>
    <xf numFmtId="9" fontId="59" fillId="4" borderId="55" xfId="0" applyNumberFormat="1" applyFont="1" applyFill="1" applyBorder="1" applyAlignment="1">
      <alignment horizontal="center" vertical="center"/>
    </xf>
    <xf numFmtId="9" fontId="59" fillId="4" borderId="62" xfId="0" applyNumberFormat="1" applyFont="1" applyFill="1" applyBorder="1" applyAlignment="1">
      <alignment horizontal="center" vertical="center"/>
    </xf>
    <xf numFmtId="0" fontId="67" fillId="0" borderId="0" xfId="0" applyFont="1" applyBorder="1" applyAlignment="1">
      <alignment horizontal="center"/>
    </xf>
    <xf numFmtId="0" fontId="47" fillId="0" borderId="82" xfId="0" applyFont="1" applyFill="1" applyBorder="1" applyAlignment="1">
      <alignment horizontal="center" vertical="center"/>
    </xf>
    <xf numFmtId="0" fontId="47" fillId="0" borderId="83" xfId="0" applyFont="1" applyFill="1" applyBorder="1" applyAlignment="1">
      <alignment horizontal="center" vertical="center"/>
    </xf>
    <xf numFmtId="9" fontId="59" fillId="4" borderId="55" xfId="0" applyNumberFormat="1" applyFont="1" applyFill="1" applyBorder="1" applyAlignment="1">
      <alignment horizontal="center" vertical="center" wrapText="1"/>
    </xf>
    <xf numFmtId="9" fontId="59" fillId="4" borderId="62" xfId="0" applyNumberFormat="1" applyFont="1" applyFill="1" applyBorder="1" applyAlignment="1">
      <alignment horizontal="center" vertical="center" wrapText="1"/>
    </xf>
    <xf numFmtId="0" fontId="55" fillId="6" borderId="15" xfId="0" applyFont="1" applyFill="1" applyBorder="1" applyAlignment="1">
      <alignment horizontal="center"/>
    </xf>
    <xf numFmtId="0" fontId="55" fillId="6" borderId="19" xfId="0" applyFont="1" applyFill="1" applyBorder="1" applyAlignment="1">
      <alignment horizontal="center"/>
    </xf>
    <xf numFmtId="0" fontId="55" fillId="6" borderId="15" xfId="0" applyFont="1" applyFill="1" applyBorder="1" applyAlignment="1">
      <alignment horizontal="center" wrapText="1"/>
    </xf>
    <xf numFmtId="0" fontId="55" fillId="6" borderId="19" xfId="0" applyFont="1" applyFill="1" applyBorder="1" applyAlignment="1">
      <alignment horizontal="center" wrapText="1"/>
    </xf>
    <xf numFmtId="0" fontId="97" fillId="8" borderId="24" xfId="0" applyFont="1" applyFill="1" applyBorder="1" applyAlignment="1">
      <alignment horizontal="center" vertical="center"/>
    </xf>
    <xf numFmtId="0" fontId="97" fillId="8" borderId="0" xfId="0" applyFont="1" applyFill="1" applyBorder="1" applyAlignment="1">
      <alignment horizontal="center" vertical="center"/>
    </xf>
    <xf numFmtId="0" fontId="139" fillId="9" borderId="24" xfId="0" applyFont="1" applyFill="1" applyBorder="1" applyAlignment="1">
      <alignment horizontal="center" vertical="center"/>
    </xf>
    <xf numFmtId="0" fontId="139" fillId="9" borderId="0" xfId="0" applyFont="1" applyFill="1" applyBorder="1" applyAlignment="1">
      <alignment horizontal="center" vertical="center"/>
    </xf>
    <xf numFmtId="0" fontId="139" fillId="6" borderId="24" xfId="0" applyFont="1" applyFill="1" applyBorder="1" applyAlignment="1">
      <alignment horizontal="center" vertical="center"/>
    </xf>
    <xf numFmtId="0" fontId="139" fillId="6" borderId="0" xfId="0" applyFont="1" applyFill="1" applyBorder="1" applyAlignment="1">
      <alignment horizontal="center" vertical="center"/>
    </xf>
    <xf numFmtId="0" fontId="134" fillId="0" borderId="0" xfId="0" applyFont="1" applyFill="1" applyBorder="1" applyAlignment="1">
      <alignment horizontal="center"/>
    </xf>
    <xf numFmtId="0" fontId="50" fillId="3" borderId="0" xfId="0" applyFont="1" applyFill="1" applyBorder="1" applyAlignment="1">
      <alignment horizontal="center" vertical="center"/>
    </xf>
    <xf numFmtId="0" fontId="50" fillId="3" borderId="0" xfId="0" applyNumberFormat="1" applyFont="1" applyFill="1" applyBorder="1" applyAlignment="1">
      <alignment horizontal="center" vertical="center"/>
    </xf>
    <xf numFmtId="0" fontId="134" fillId="0" borderId="0" xfId="0" applyNumberFormat="1" applyFont="1" applyFill="1" applyBorder="1" applyAlignment="1">
      <alignment horizontal="center"/>
    </xf>
    <xf numFmtId="0" fontId="63" fillId="0" borderId="0" xfId="0" applyFont="1" applyAlignment="1">
      <alignment horizontal="center" wrapText="1"/>
    </xf>
    <xf numFmtId="0" fontId="63" fillId="0" borderId="0" xfId="0" applyFont="1" applyAlignment="1">
      <alignment horizontal="center"/>
    </xf>
    <xf numFmtId="0" fontId="54" fillId="6" borderId="15" xfId="0" applyFont="1" applyFill="1" applyBorder="1" applyAlignment="1">
      <alignment horizontal="center"/>
    </xf>
    <xf numFmtId="0" fontId="54" fillId="6" borderId="19" xfId="0" applyFont="1" applyFill="1" applyBorder="1" applyAlignment="1">
      <alignment horizontal="center"/>
    </xf>
    <xf numFmtId="0" fontId="71" fillId="0" borderId="64" xfId="0" applyFont="1" applyBorder="1" applyAlignment="1">
      <alignment horizontal="center" vertical="center" wrapText="1"/>
    </xf>
    <xf numFmtId="0" fontId="71" fillId="0" borderId="65" xfId="0" applyFont="1" applyBorder="1" applyAlignment="1">
      <alignment horizontal="center" vertical="center" wrapText="1"/>
    </xf>
    <xf numFmtId="0" fontId="71" fillId="0" borderId="66" xfId="0" applyFont="1" applyBorder="1" applyAlignment="1">
      <alignment horizontal="center" vertical="center" wrapText="1"/>
    </xf>
    <xf numFmtId="0" fontId="88" fillId="0" borderId="64" xfId="0" applyFont="1" applyBorder="1" applyAlignment="1">
      <alignment horizontal="center" vertical="center" wrapText="1"/>
    </xf>
    <xf numFmtId="0" fontId="88" fillId="0" borderId="66" xfId="0" applyFont="1" applyBorder="1" applyAlignment="1">
      <alignment horizontal="center" vertical="center" wrapText="1"/>
    </xf>
    <xf numFmtId="0" fontId="88" fillId="0" borderId="32" xfId="0" applyFont="1" applyBorder="1" applyAlignment="1">
      <alignment horizontal="center" vertical="center" wrapText="1"/>
    </xf>
    <xf numFmtId="0" fontId="88" fillId="0" borderId="33" xfId="0" applyFont="1" applyBorder="1" applyAlignment="1">
      <alignment horizontal="center" vertical="center" wrapText="1"/>
    </xf>
    <xf numFmtId="0" fontId="67" fillId="0" borderId="0" xfId="0" applyFont="1" applyAlignment="1">
      <alignment horizontal="center" vertical="center" wrapText="1"/>
    </xf>
    <xf numFmtId="0" fontId="67" fillId="0" borderId="0" xfId="0" applyFont="1" applyAlignment="1">
      <alignment horizontal="center" wrapText="1"/>
    </xf>
    <xf numFmtId="0" fontId="88" fillId="0" borderId="0" xfId="0" applyFont="1" applyAlignment="1">
      <alignment horizontal="left" vertical="center" wrapText="1"/>
    </xf>
    <xf numFmtId="0" fontId="114" fillId="4" borderId="0" xfId="0" applyFont="1" applyFill="1" applyBorder="1" applyAlignment="1">
      <alignment horizontal="center" vertical="center" wrapText="1"/>
    </xf>
    <xf numFmtId="0" fontId="59" fillId="4" borderId="15" xfId="0" applyFont="1" applyFill="1" applyBorder="1" applyAlignment="1">
      <alignment horizontal="center" vertical="center"/>
    </xf>
    <xf numFmtId="0" fontId="59" fillId="4" borderId="16" xfId="0" applyFont="1" applyFill="1" applyBorder="1" applyAlignment="1">
      <alignment horizontal="center" vertical="center"/>
    </xf>
    <xf numFmtId="0" fontId="59" fillId="4" borderId="19" xfId="0" applyFont="1" applyFill="1" applyBorder="1" applyAlignment="1">
      <alignment horizontal="center" vertical="center"/>
    </xf>
    <xf numFmtId="1" fontId="59" fillId="4" borderId="15" xfId="0" applyNumberFormat="1" applyFont="1" applyFill="1" applyBorder="1" applyAlignment="1">
      <alignment horizontal="center" vertical="center"/>
    </xf>
    <xf numFmtId="167" fontId="209" fillId="6" borderId="15" xfId="0" applyNumberFormat="1" applyFont="1" applyFill="1" applyBorder="1" applyAlignment="1">
      <alignment horizontal="center" vertical="center"/>
    </xf>
    <xf numFmtId="167" fontId="209" fillId="6" borderId="19" xfId="0" applyNumberFormat="1" applyFont="1" applyFill="1" applyBorder="1" applyAlignment="1">
      <alignment horizontal="center" vertical="center"/>
    </xf>
    <xf numFmtId="9" fontId="87" fillId="6" borderId="15" xfId="0" applyNumberFormat="1" applyFont="1" applyFill="1" applyBorder="1" applyAlignment="1">
      <alignment horizontal="center"/>
    </xf>
    <xf numFmtId="9" fontId="87" fillId="6" borderId="19" xfId="0" applyNumberFormat="1" applyFont="1" applyFill="1" applyBorder="1" applyAlignment="1">
      <alignment horizontal="center"/>
    </xf>
    <xf numFmtId="0" fontId="54" fillId="6" borderId="63" xfId="0" applyFont="1" applyFill="1" applyBorder="1" applyAlignment="1">
      <alignment horizontal="center"/>
    </xf>
    <xf numFmtId="0" fontId="54" fillId="6" borderId="18" xfId="0" applyFont="1" applyFill="1" applyBorder="1" applyAlignment="1">
      <alignment horizontal="center"/>
    </xf>
    <xf numFmtId="9" fontId="55" fillId="6" borderId="15" xfId="0" applyNumberFormat="1" applyFont="1" applyFill="1" applyBorder="1" applyAlignment="1">
      <alignment horizontal="center"/>
    </xf>
    <xf numFmtId="9" fontId="55" fillId="6" borderId="19" xfId="0" applyNumberFormat="1" applyFont="1" applyFill="1" applyBorder="1" applyAlignment="1">
      <alignment horizontal="center"/>
    </xf>
    <xf numFmtId="167" fontId="114" fillId="4" borderId="24" xfId="0" applyNumberFormat="1" applyFont="1" applyFill="1" applyBorder="1" applyAlignment="1">
      <alignment horizontal="center" vertical="center"/>
    </xf>
    <xf numFmtId="167" fontId="114" fillId="4" borderId="0" xfId="0" applyNumberFormat="1" applyFont="1" applyFill="1" applyBorder="1" applyAlignment="1">
      <alignment horizontal="center" vertical="center"/>
    </xf>
    <xf numFmtId="167" fontId="69" fillId="6" borderId="15" xfId="0" applyNumberFormat="1" applyFont="1" applyFill="1" applyBorder="1" applyAlignment="1">
      <alignment horizontal="center" vertical="center"/>
    </xf>
    <xf numFmtId="167" fontId="69" fillId="6" borderId="19" xfId="0" applyNumberFormat="1" applyFont="1" applyFill="1" applyBorder="1" applyAlignment="1">
      <alignment horizontal="center" vertical="center"/>
    </xf>
    <xf numFmtId="0" fontId="88" fillId="0" borderId="0" xfId="0" applyFont="1" applyBorder="1" applyAlignment="1">
      <alignment horizontal="center"/>
    </xf>
    <xf numFmtId="0" fontId="69" fillId="6" borderId="24" xfId="0" applyFont="1" applyFill="1" applyBorder="1" applyAlignment="1">
      <alignment horizontal="center" vertical="center" wrapText="1"/>
    </xf>
    <xf numFmtId="0" fontId="69" fillId="6" borderId="67" xfId="0" applyFont="1" applyFill="1" applyBorder="1" applyAlignment="1">
      <alignment horizontal="center" vertical="center" wrapText="1"/>
    </xf>
    <xf numFmtId="0" fontId="114" fillId="4" borderId="24" xfId="0" applyFont="1" applyFill="1" applyBorder="1" applyAlignment="1">
      <alignment horizontal="center" vertical="center" wrapText="1"/>
    </xf>
    <xf numFmtId="0" fontId="114" fillId="4" borderId="38" xfId="0" applyFont="1" applyFill="1" applyBorder="1" applyAlignment="1">
      <alignment horizontal="center" vertical="center"/>
    </xf>
    <xf numFmtId="0" fontId="114" fillId="4" borderId="25" xfId="0" applyFont="1" applyFill="1" applyBorder="1" applyAlignment="1">
      <alignment horizontal="center" vertical="center"/>
    </xf>
    <xf numFmtId="0" fontId="129" fillId="4" borderId="15" xfId="0" applyFont="1" applyFill="1" applyBorder="1" applyAlignment="1">
      <alignment horizontal="center" vertical="center"/>
    </xf>
    <xf numFmtId="0" fontId="129" fillId="4" borderId="19" xfId="0" applyFont="1" applyFill="1" applyBorder="1" applyAlignment="1">
      <alignment horizontal="center" vertical="center"/>
    </xf>
    <xf numFmtId="0" fontId="67" fillId="0" borderId="17" xfId="0" applyFont="1" applyFill="1" applyBorder="1" applyAlignment="1">
      <alignment horizontal="center"/>
    </xf>
    <xf numFmtId="0" fontId="129" fillId="4" borderId="38" xfId="0" applyFont="1" applyFill="1" applyBorder="1" applyAlignment="1">
      <alignment horizontal="center" vertical="center"/>
    </xf>
    <xf numFmtId="0" fontId="129" fillId="4" borderId="25" xfId="0" applyFont="1" applyFill="1" applyBorder="1" applyAlignment="1">
      <alignment horizontal="center" vertical="center"/>
    </xf>
    <xf numFmtId="0" fontId="59" fillId="4" borderId="15" xfId="0" applyFont="1" applyFill="1" applyBorder="1" applyAlignment="1">
      <alignment horizontal="center" vertical="center" wrapText="1"/>
    </xf>
    <xf numFmtId="0" fontId="59" fillId="4" borderId="19" xfId="0" applyFont="1" applyFill="1" applyBorder="1" applyAlignment="1">
      <alignment horizontal="center" vertical="center" wrapText="1"/>
    </xf>
    <xf numFmtId="0" fontId="59" fillId="4" borderId="38" xfId="0" applyFont="1" applyFill="1" applyBorder="1" applyAlignment="1">
      <alignment horizontal="center" vertical="center" wrapText="1"/>
    </xf>
    <xf numFmtId="0" fontId="59" fillId="4" borderId="25" xfId="0" applyFont="1" applyFill="1" applyBorder="1" applyAlignment="1">
      <alignment horizontal="center" vertical="center" wrapText="1"/>
    </xf>
    <xf numFmtId="0" fontId="67" fillId="0" borderId="0" xfId="0" applyFont="1" applyAlignment="1">
      <alignment horizontal="center"/>
    </xf>
    <xf numFmtId="0" fontId="59" fillId="4" borderId="68" xfId="0" applyFont="1" applyFill="1" applyBorder="1" applyAlignment="1">
      <alignment horizontal="center" vertical="center" wrapText="1"/>
    </xf>
    <xf numFmtId="0" fontId="59" fillId="4" borderId="63" xfId="0" applyFont="1" applyFill="1" applyBorder="1" applyAlignment="1">
      <alignment horizontal="center" vertical="center" wrapText="1"/>
    </xf>
    <xf numFmtId="0" fontId="71" fillId="0" borderId="0" xfId="0" applyFont="1" applyAlignment="1">
      <alignment horizontal="center"/>
    </xf>
    <xf numFmtId="0" fontId="40" fillId="6" borderId="15" xfId="0" applyFont="1" applyFill="1" applyBorder="1" applyAlignment="1">
      <alignment horizontal="center"/>
    </xf>
    <xf numFmtId="0" fontId="40" fillId="6" borderId="19" xfId="0" applyFont="1" applyFill="1" applyBorder="1" applyAlignment="1">
      <alignment horizontal="center"/>
    </xf>
    <xf numFmtId="0" fontId="40" fillId="6" borderId="109" xfId="0" applyFont="1" applyFill="1" applyBorder="1" applyAlignment="1">
      <alignment horizontal="center"/>
    </xf>
    <xf numFmtId="0" fontId="40" fillId="6" borderId="110" xfId="0" applyFont="1" applyFill="1" applyBorder="1" applyAlignment="1">
      <alignment horizontal="center"/>
    </xf>
    <xf numFmtId="0" fontId="40" fillId="6" borderId="14" xfId="0" applyFont="1" applyFill="1" applyBorder="1" applyAlignment="1">
      <alignment horizontal="center"/>
    </xf>
    <xf numFmtId="0" fontId="87" fillId="0" borderId="0" xfId="0" applyFont="1" applyAlignment="1">
      <alignment horizontal="center"/>
    </xf>
    <xf numFmtId="0" fontId="153" fillId="0" borderId="0" xfId="0" applyFont="1" applyAlignment="1">
      <alignment horizontal="center" wrapText="1"/>
    </xf>
    <xf numFmtId="0" fontId="55" fillId="0" borderId="1" xfId="2" applyFont="1" applyBorder="1" applyAlignment="1">
      <alignment horizontal="left" wrapText="1"/>
    </xf>
    <xf numFmtId="0" fontId="55" fillId="0" borderId="1" xfId="2" applyFont="1" applyBorder="1"/>
    <xf numFmtId="0" fontId="55" fillId="0" borderId="0" xfId="2" applyFont="1"/>
    <xf numFmtId="0" fontId="55" fillId="6" borderId="14" xfId="0" applyFont="1" applyFill="1" applyBorder="1" applyAlignment="1">
      <alignment horizontal="right" vertical="center"/>
    </xf>
    <xf numFmtId="0" fontId="87" fillId="6" borderId="15" xfId="0" applyFont="1" applyFill="1" applyBorder="1" applyAlignment="1">
      <alignment horizontal="left" vertical="center" wrapText="1"/>
    </xf>
    <xf numFmtId="0" fontId="87" fillId="6" borderId="16" xfId="0" applyFont="1" applyFill="1" applyBorder="1" applyAlignment="1">
      <alignment horizontal="left" vertical="center"/>
    </xf>
    <xf numFmtId="0" fontId="55" fillId="0" borderId="24"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6" borderId="15" xfId="0" applyFont="1" applyFill="1" applyBorder="1" applyAlignment="1">
      <alignment horizontal="left" vertical="center" wrapText="1"/>
    </xf>
    <xf numFmtId="0" fontId="55" fillId="6" borderId="16" xfId="0" applyFont="1" applyFill="1" applyBorder="1" applyAlignment="1">
      <alignment horizontal="left" vertical="center"/>
    </xf>
    <xf numFmtId="0" fontId="55" fillId="6" borderId="15" xfId="0" quotePrefix="1" applyFont="1" applyFill="1" applyBorder="1" applyAlignment="1">
      <alignment horizontal="left" vertical="center" wrapText="1"/>
    </xf>
    <xf numFmtId="0" fontId="55" fillId="6" borderId="16" xfId="0" quotePrefix="1" applyFont="1" applyFill="1" applyBorder="1" applyAlignment="1">
      <alignment horizontal="left" vertical="center" wrapText="1"/>
    </xf>
    <xf numFmtId="0" fontId="210" fillId="6" borderId="68" xfId="0" applyFont="1" applyFill="1" applyBorder="1" applyAlignment="1">
      <alignment horizontal="left" vertical="center" wrapText="1"/>
    </xf>
    <xf numFmtId="0" fontId="210" fillId="6" borderId="20" xfId="0" applyFont="1" applyFill="1" applyBorder="1" applyAlignment="1">
      <alignment horizontal="left" vertical="center"/>
    </xf>
    <xf numFmtId="0" fontId="210" fillId="6" borderId="20" xfId="0" applyFont="1" applyFill="1" applyBorder="1" applyAlignment="1">
      <alignment horizontal="left" vertical="center" wrapText="1"/>
    </xf>
    <xf numFmtId="0" fontId="55" fillId="6" borderId="68" xfId="0" applyFont="1" applyFill="1" applyBorder="1" applyAlignment="1">
      <alignment horizontal="left" vertical="center"/>
    </xf>
    <xf numFmtId="0" fontId="55" fillId="6" borderId="20" xfId="0" applyFont="1" applyFill="1" applyBorder="1" applyAlignment="1">
      <alignment horizontal="left" vertical="center"/>
    </xf>
    <xf numFmtId="0" fontId="55" fillId="6" borderId="19" xfId="0" applyFont="1" applyFill="1" applyBorder="1" applyAlignment="1">
      <alignment horizontal="left" vertical="center"/>
    </xf>
    <xf numFmtId="0" fontId="55" fillId="6" borderId="15" xfId="0" applyFont="1" applyFill="1" applyBorder="1" applyAlignment="1">
      <alignment horizontal="left" vertical="center"/>
    </xf>
    <xf numFmtId="0" fontId="114" fillId="3" borderId="24" xfId="0" applyFont="1" applyFill="1" applyBorder="1" applyAlignment="1">
      <alignment horizontal="center" vertical="center" wrapText="1"/>
    </xf>
    <xf numFmtId="0" fontId="114" fillId="3" borderId="0" xfId="0" applyFont="1" applyFill="1" applyBorder="1" applyAlignment="1">
      <alignment horizontal="center" vertical="center" wrapText="1"/>
    </xf>
    <xf numFmtId="0" fontId="114" fillId="3" borderId="69" xfId="0" applyFont="1" applyFill="1" applyBorder="1" applyAlignment="1">
      <alignment horizontal="center" vertical="center" wrapText="1"/>
    </xf>
    <xf numFmtId="0" fontId="114" fillId="3" borderId="70" xfId="0" applyFont="1" applyFill="1" applyBorder="1" applyAlignment="1">
      <alignment horizontal="center" vertical="center" wrapText="1"/>
    </xf>
    <xf numFmtId="0" fontId="114" fillId="3" borderId="71" xfId="0" applyFont="1" applyFill="1" applyBorder="1" applyAlignment="1">
      <alignment horizontal="center" vertical="center" wrapText="1"/>
    </xf>
    <xf numFmtId="0" fontId="114" fillId="3" borderId="72" xfId="0" applyFont="1" applyFill="1" applyBorder="1" applyAlignment="1">
      <alignment horizontal="center" vertical="center" wrapText="1"/>
    </xf>
    <xf numFmtId="0" fontId="114" fillId="3" borderId="73" xfId="0" applyFont="1" applyFill="1" applyBorder="1" applyAlignment="1">
      <alignment horizontal="center" vertical="center" wrapText="1"/>
    </xf>
    <xf numFmtId="0" fontId="114" fillId="3" borderId="74" xfId="0" applyFont="1" applyFill="1" applyBorder="1" applyAlignment="1">
      <alignment horizontal="center" vertical="center" wrapText="1"/>
    </xf>
    <xf numFmtId="0" fontId="51" fillId="0" borderId="0" xfId="0" applyFont="1" applyAlignment="1">
      <alignment horizontal="center"/>
    </xf>
    <xf numFmtId="0" fontId="67" fillId="0" borderId="0" xfId="0" applyFont="1" applyAlignment="1">
      <alignment horizontal="center" vertical="center"/>
    </xf>
    <xf numFmtId="0" fontId="77" fillId="0" borderId="0" xfId="0" applyFont="1" applyBorder="1" applyAlignment="1">
      <alignment horizontal="left"/>
    </xf>
    <xf numFmtId="0" fontId="100" fillId="3" borderId="73" xfId="0" applyFont="1" applyFill="1" applyBorder="1" applyAlignment="1">
      <alignment horizontal="center" vertical="center" wrapText="1"/>
    </xf>
    <xf numFmtId="0" fontId="100" fillId="3" borderId="74" xfId="0" applyFont="1" applyFill="1" applyBorder="1" applyAlignment="1">
      <alignment horizontal="center" vertical="center" wrapText="1"/>
    </xf>
    <xf numFmtId="9" fontId="218" fillId="4" borderId="38" xfId="0" applyNumberFormat="1" applyFont="1" applyFill="1" applyBorder="1" applyAlignment="1">
      <alignment horizontal="center" vertical="center"/>
    </xf>
    <xf numFmtId="9" fontId="218" fillId="4" borderId="25" xfId="0" applyNumberFormat="1" applyFont="1" applyFill="1" applyBorder="1" applyAlignment="1">
      <alignment horizontal="center" vertical="center"/>
    </xf>
    <xf numFmtId="9" fontId="218" fillId="3" borderId="132" xfId="0" applyNumberFormat="1" applyFont="1" applyFill="1" applyBorder="1" applyAlignment="1">
      <alignment horizontal="left" vertical="center"/>
    </xf>
    <xf numFmtId="9" fontId="218" fillId="3" borderId="133" xfId="0" applyNumberFormat="1" applyFont="1" applyFill="1" applyBorder="1" applyAlignment="1">
      <alignment horizontal="left" vertical="center"/>
    </xf>
    <xf numFmtId="9" fontId="218" fillId="3" borderId="38" xfId="0" applyNumberFormat="1" applyFont="1" applyFill="1" applyBorder="1" applyAlignment="1">
      <alignment horizontal="center" vertical="center"/>
    </xf>
    <xf numFmtId="9" fontId="218" fillId="3" borderId="25" xfId="0" applyNumberFormat="1" applyFont="1" applyFill="1" applyBorder="1" applyAlignment="1">
      <alignment horizontal="center" vertical="center"/>
    </xf>
    <xf numFmtId="9" fontId="199" fillId="3" borderId="132" xfId="0" applyNumberFormat="1" applyFont="1" applyFill="1" applyBorder="1" applyAlignment="1">
      <alignment horizontal="left" vertical="center"/>
    </xf>
    <xf numFmtId="9" fontId="199" fillId="3" borderId="133" xfId="0" applyNumberFormat="1" applyFont="1" applyFill="1" applyBorder="1" applyAlignment="1">
      <alignment horizontal="left" vertical="center"/>
    </xf>
    <xf numFmtId="9" fontId="44" fillId="3" borderId="38" xfId="0" applyNumberFormat="1" applyFont="1" applyFill="1" applyBorder="1" applyAlignment="1">
      <alignment horizontal="center" vertical="center"/>
    </xf>
    <xf numFmtId="9" fontId="44" fillId="3" borderId="25" xfId="0" applyNumberFormat="1" applyFont="1" applyFill="1" applyBorder="1" applyAlignment="1">
      <alignment horizontal="center" vertical="center"/>
    </xf>
    <xf numFmtId="9" fontId="44" fillId="4" borderId="38" xfId="0" applyNumberFormat="1" applyFont="1" applyFill="1" applyBorder="1" applyAlignment="1">
      <alignment horizontal="center" vertical="center"/>
    </xf>
    <xf numFmtId="9" fontId="44" fillId="4" borderId="25" xfId="0" applyNumberFormat="1" applyFont="1" applyFill="1" applyBorder="1" applyAlignment="1">
      <alignment horizontal="center" vertical="center"/>
    </xf>
    <xf numFmtId="0" fontId="101" fillId="2" borderId="0" xfId="0" applyFont="1" applyFill="1" applyBorder="1" applyAlignment="1">
      <alignment horizontal="center" vertical="center"/>
    </xf>
    <xf numFmtId="0" fontId="101" fillId="2" borderId="17" xfId="0" applyFont="1" applyFill="1" applyBorder="1" applyAlignment="1">
      <alignment horizontal="center" vertical="center"/>
    </xf>
    <xf numFmtId="0" fontId="44" fillId="4" borderId="15" xfId="0" applyFont="1" applyFill="1" applyBorder="1" applyAlignment="1">
      <alignment horizontal="right" vertical="center"/>
    </xf>
    <xf numFmtId="0" fontId="44" fillId="4" borderId="19" xfId="0" applyFont="1" applyFill="1" applyBorder="1" applyAlignment="1">
      <alignment horizontal="right" vertical="center"/>
    </xf>
    <xf numFmtId="9" fontId="126" fillId="2" borderId="15" xfId="0" applyNumberFormat="1" applyFont="1" applyFill="1" applyBorder="1" applyAlignment="1">
      <alignment horizontal="center" vertical="center"/>
    </xf>
    <xf numFmtId="9" fontId="126" fillId="2" borderId="19" xfId="0" applyNumberFormat="1" applyFont="1" applyFill="1" applyBorder="1" applyAlignment="1">
      <alignment horizontal="center" vertical="center"/>
    </xf>
    <xf numFmtId="0" fontId="124" fillId="0" borderId="24" xfId="0" applyFont="1" applyFill="1" applyBorder="1" applyAlignment="1">
      <alignment horizontal="left" vertical="center"/>
    </xf>
    <xf numFmtId="0" fontId="124" fillId="0" borderId="0" xfId="0" applyFont="1" applyFill="1" applyBorder="1" applyAlignment="1">
      <alignment horizontal="left" vertical="center"/>
    </xf>
    <xf numFmtId="0" fontId="44" fillId="4" borderId="67" xfId="0" applyFont="1" applyFill="1" applyBorder="1" applyAlignment="1">
      <alignment horizontal="center" vertical="center" wrapText="1"/>
    </xf>
    <xf numFmtId="0" fontId="44" fillId="4" borderId="38" xfId="0" applyFont="1" applyFill="1" applyBorder="1" applyAlignment="1">
      <alignment horizontal="center" vertical="center" wrapText="1"/>
    </xf>
    <xf numFmtId="0" fontId="44" fillId="4" borderId="75" xfId="0" applyFont="1" applyFill="1" applyBorder="1" applyAlignment="1">
      <alignment horizontal="center" vertical="center" wrapText="1"/>
    </xf>
    <xf numFmtId="0" fontId="44" fillId="4" borderId="25" xfId="0" applyFont="1" applyFill="1" applyBorder="1" applyAlignment="1">
      <alignment horizontal="center" vertical="center" wrapText="1"/>
    </xf>
    <xf numFmtId="0" fontId="101" fillId="2" borderId="21" xfId="0" applyFont="1" applyFill="1" applyBorder="1" applyAlignment="1">
      <alignment horizontal="left" vertical="center"/>
    </xf>
    <xf numFmtId="0" fontId="101" fillId="2" borderId="18" xfId="0" applyFont="1" applyFill="1" applyBorder="1" applyAlignment="1">
      <alignment horizontal="left" vertical="center"/>
    </xf>
    <xf numFmtId="0" fontId="101" fillId="2" borderId="38" xfId="0" applyFont="1" applyFill="1" applyBorder="1" applyAlignment="1">
      <alignment horizontal="left" vertical="center"/>
    </xf>
    <xf numFmtId="0" fontId="101" fillId="2" borderId="25" xfId="0" applyFont="1" applyFill="1" applyBorder="1" applyAlignment="1">
      <alignment horizontal="left" vertical="center"/>
    </xf>
    <xf numFmtId="0" fontId="69" fillId="0" borderId="24" xfId="0" applyFont="1" applyBorder="1" applyAlignment="1">
      <alignment horizontal="left" vertical="center" wrapText="1"/>
    </xf>
    <xf numFmtId="0" fontId="69" fillId="0" borderId="0" xfId="0" applyFont="1" applyBorder="1" applyAlignment="1">
      <alignment horizontal="left" vertical="center" wrapText="1"/>
    </xf>
    <xf numFmtId="0" fontId="55" fillId="0" borderId="15" xfId="0" applyFont="1" applyFill="1" applyBorder="1" applyAlignment="1">
      <alignment horizontal="left" vertical="center"/>
    </xf>
    <xf numFmtId="0" fontId="55" fillId="0" borderId="19" xfId="0" applyFont="1" applyFill="1" applyBorder="1" applyAlignment="1">
      <alignment horizontal="left" vertical="center"/>
    </xf>
    <xf numFmtId="0" fontId="125" fillId="0" borderId="63" xfId="0" applyFont="1" applyFill="1" applyBorder="1" applyAlignment="1">
      <alignment horizontal="left" vertical="center"/>
    </xf>
    <xf numFmtId="0" fontId="125" fillId="0" borderId="18" xfId="0" applyFont="1" applyFill="1" applyBorder="1" applyAlignment="1">
      <alignment horizontal="left" vertical="center"/>
    </xf>
    <xf numFmtId="0" fontId="44" fillId="4" borderId="15" xfId="0" applyFont="1" applyFill="1" applyBorder="1" applyAlignment="1">
      <alignment horizontal="center" vertical="center"/>
    </xf>
    <xf numFmtId="0" fontId="44" fillId="4" borderId="16" xfId="0" applyFont="1" applyFill="1" applyBorder="1" applyAlignment="1">
      <alignment horizontal="center" vertical="center"/>
    </xf>
    <xf numFmtId="9" fontId="167" fillId="2" borderId="15" xfId="0" applyNumberFormat="1" applyFont="1" applyFill="1" applyBorder="1" applyAlignment="1">
      <alignment horizontal="center" vertical="center"/>
    </xf>
    <xf numFmtId="9" fontId="167" fillId="2" borderId="16" xfId="0" applyNumberFormat="1" applyFont="1" applyFill="1" applyBorder="1" applyAlignment="1">
      <alignment horizontal="center" vertical="center"/>
    </xf>
    <xf numFmtId="0" fontId="55" fillId="6" borderId="24" xfId="0" applyFont="1" applyFill="1" applyBorder="1" applyAlignment="1">
      <alignment horizontal="left" vertical="center"/>
    </xf>
    <xf numFmtId="0" fontId="55" fillId="6" borderId="0" xfId="0" applyFont="1" applyFill="1" applyBorder="1" applyAlignment="1">
      <alignment horizontal="left" vertical="center"/>
    </xf>
    <xf numFmtId="15" fontId="69" fillId="0" borderId="24" xfId="0" applyNumberFormat="1" applyFont="1" applyBorder="1" applyAlignment="1">
      <alignment horizontal="left" vertical="center" wrapText="1"/>
    </xf>
    <xf numFmtId="15" fontId="69" fillId="0" borderId="0" xfId="0" applyNumberFormat="1" applyFont="1" applyAlignment="1">
      <alignment horizontal="left" vertical="center" wrapText="1"/>
    </xf>
    <xf numFmtId="0" fontId="44" fillId="4" borderId="15" xfId="0" applyNumberFormat="1" applyFont="1" applyFill="1" applyBorder="1" applyAlignment="1">
      <alignment horizontal="center" vertical="center"/>
    </xf>
    <xf numFmtId="0" fontId="44" fillId="4" borderId="19" xfId="0" applyNumberFormat="1" applyFont="1" applyFill="1" applyBorder="1" applyAlignment="1">
      <alignment horizontal="center" vertical="center"/>
    </xf>
    <xf numFmtId="0" fontId="44" fillId="4" borderId="63" xfId="0" applyNumberFormat="1" applyFont="1" applyFill="1" applyBorder="1" applyAlignment="1">
      <alignment horizontal="center" vertical="center"/>
    </xf>
    <xf numFmtId="0" fontId="44" fillId="4" borderId="17" xfId="0" applyNumberFormat="1" applyFont="1" applyFill="1" applyBorder="1" applyAlignment="1">
      <alignment horizontal="center" vertical="center"/>
    </xf>
    <xf numFmtId="0" fontId="44" fillId="4" borderId="18" xfId="0" applyNumberFormat="1" applyFont="1" applyFill="1" applyBorder="1" applyAlignment="1">
      <alignment horizontal="center" vertical="center"/>
    </xf>
    <xf numFmtId="9" fontId="44" fillId="4" borderId="0" xfId="0" applyNumberFormat="1" applyFont="1" applyFill="1" applyBorder="1" applyAlignment="1">
      <alignment horizontal="center" vertical="center" wrapText="1"/>
    </xf>
    <xf numFmtId="167" fontId="223" fillId="4" borderId="147" xfId="0" applyNumberFormat="1" applyFont="1" applyFill="1" applyBorder="1" applyAlignment="1">
      <alignment horizontal="right" vertical="center"/>
    </xf>
    <xf numFmtId="167" fontId="223" fillId="4" borderId="148" xfId="0" applyNumberFormat="1" applyFont="1" applyFill="1" applyBorder="1" applyAlignment="1">
      <alignment horizontal="right" vertical="center"/>
    </xf>
    <xf numFmtId="167" fontId="97" fillId="4" borderId="14" xfId="0" applyNumberFormat="1" applyFont="1" applyFill="1" applyBorder="1" applyAlignment="1">
      <alignment horizontal="center" vertical="center"/>
    </xf>
    <xf numFmtId="167" fontId="97" fillId="4" borderId="15" xfId="0" applyNumberFormat="1" applyFont="1" applyFill="1" applyBorder="1" applyAlignment="1">
      <alignment horizontal="center" vertical="center"/>
    </xf>
    <xf numFmtId="0" fontId="148" fillId="0" borderId="0" xfId="0" applyFont="1" applyAlignment="1">
      <alignment horizontal="left" vertical="center" wrapText="1"/>
    </xf>
    <xf numFmtId="0" fontId="148" fillId="0" borderId="0" xfId="0" applyFont="1" applyAlignment="1">
      <alignment horizontal="left" wrapText="1"/>
    </xf>
    <xf numFmtId="0" fontId="104" fillId="0" borderId="59" xfId="0" applyFont="1" applyBorder="1" applyAlignment="1">
      <alignment horizontal="right"/>
    </xf>
    <xf numFmtId="0" fontId="104" fillId="0" borderId="57" xfId="0" applyFont="1" applyBorder="1" applyAlignment="1">
      <alignment horizontal="right"/>
    </xf>
    <xf numFmtId="0" fontId="104" fillId="0" borderId="107" xfId="0" applyFont="1" applyBorder="1" applyAlignment="1">
      <alignment horizontal="right"/>
    </xf>
    <xf numFmtId="0" fontId="182" fillId="0" borderId="0" xfId="0" applyFont="1" applyAlignment="1">
      <alignment horizontal="left" wrapText="1"/>
    </xf>
    <xf numFmtId="0" fontId="69" fillId="0" borderId="90" xfId="0" applyFont="1" applyFill="1" applyBorder="1" applyAlignment="1">
      <alignment horizontal="left" vertical="center" wrapText="1"/>
    </xf>
    <xf numFmtId="0" fontId="69" fillId="0" borderId="91" xfId="0" applyFont="1" applyFill="1" applyBorder="1" applyAlignment="1">
      <alignment horizontal="left" vertical="center" wrapText="1"/>
    </xf>
    <xf numFmtId="0" fontId="69" fillId="0" borderId="92" xfId="0" applyFont="1" applyFill="1" applyBorder="1" applyAlignment="1">
      <alignment horizontal="left" vertical="center" wrapText="1"/>
    </xf>
    <xf numFmtId="0" fontId="114" fillId="4" borderId="93" xfId="0" applyFont="1" applyFill="1" applyBorder="1" applyAlignment="1">
      <alignment horizontal="left" vertical="center" wrapText="1"/>
    </xf>
    <xf numFmtId="0" fontId="114" fillId="4" borderId="94" xfId="0" applyFont="1" applyFill="1" applyBorder="1" applyAlignment="1">
      <alignment horizontal="left" vertical="center" wrapText="1"/>
    </xf>
    <xf numFmtId="0" fontId="100" fillId="6" borderId="90" xfId="0" applyFont="1" applyFill="1" applyBorder="1" applyAlignment="1">
      <alignment horizontal="left" vertical="center" wrapText="1"/>
    </xf>
    <xf numFmtId="0" fontId="100" fillId="6" borderId="91" xfId="0" applyFont="1" applyFill="1" applyBorder="1" applyAlignment="1">
      <alignment horizontal="left" vertical="center" wrapText="1"/>
    </xf>
    <xf numFmtId="0" fontId="100" fillId="6" borderId="0" xfId="0" applyFont="1" applyFill="1" applyBorder="1" applyAlignment="1">
      <alignment horizontal="left" vertical="center" wrapText="1"/>
    </xf>
    <xf numFmtId="0" fontId="210" fillId="6" borderId="15" xfId="0" applyFont="1" applyFill="1" applyBorder="1" applyAlignment="1">
      <alignment horizontal="center" vertical="center"/>
    </xf>
    <xf numFmtId="0" fontId="210" fillId="6" borderId="19" xfId="0" applyFont="1" applyFill="1" applyBorder="1" applyAlignment="1">
      <alignment horizontal="center" vertical="center"/>
    </xf>
    <xf numFmtId="0" fontId="210" fillId="6" borderId="15" xfId="0" applyFont="1" applyFill="1" applyBorder="1" applyAlignment="1">
      <alignment horizontal="center" vertical="center" wrapText="1"/>
    </xf>
    <xf numFmtId="0" fontId="210" fillId="6" borderId="19" xfId="0" applyFont="1" applyFill="1" applyBorder="1" applyAlignment="1">
      <alignment horizontal="center" vertical="center" wrapText="1"/>
    </xf>
    <xf numFmtId="167" fontId="210" fillId="6" borderId="15" xfId="0" applyNumberFormat="1" applyFont="1" applyFill="1" applyBorder="1" applyAlignment="1">
      <alignment horizontal="center" vertical="center"/>
    </xf>
    <xf numFmtId="167" fontId="210" fillId="6" borderId="19" xfId="0" applyNumberFormat="1" applyFont="1" applyFill="1" applyBorder="1" applyAlignment="1">
      <alignment horizontal="center" vertical="center"/>
    </xf>
    <xf numFmtId="167" fontId="55" fillId="6" borderId="15" xfId="0" applyNumberFormat="1" applyFont="1" applyFill="1" applyBorder="1" applyAlignment="1">
      <alignment horizontal="center" vertical="center"/>
    </xf>
    <xf numFmtId="167" fontId="55" fillId="6" borderId="19" xfId="0" applyNumberFormat="1" applyFont="1" applyFill="1" applyBorder="1" applyAlignment="1">
      <alignment horizontal="center" vertical="center"/>
    </xf>
    <xf numFmtId="0" fontId="44" fillId="4" borderId="19" xfId="0" applyFont="1" applyFill="1" applyBorder="1" applyAlignment="1">
      <alignment horizontal="center" vertical="center"/>
    </xf>
    <xf numFmtId="0" fontId="218" fillId="4" borderId="15" xfId="0" applyFont="1" applyFill="1" applyBorder="1" applyAlignment="1">
      <alignment horizontal="center" vertical="center"/>
    </xf>
    <xf numFmtId="0" fontId="218" fillId="4" borderId="19" xfId="0" applyFont="1" applyFill="1" applyBorder="1" applyAlignment="1">
      <alignment horizontal="center" vertical="center"/>
    </xf>
    <xf numFmtId="0" fontId="167" fillId="6" borderId="15" xfId="13" applyNumberFormat="1" applyFont="1" applyFill="1" applyBorder="1" applyAlignment="1">
      <alignment horizontal="center" vertical="center"/>
    </xf>
    <xf numFmtId="0" fontId="167" fillId="6" borderId="19" xfId="13" applyNumberFormat="1" applyFont="1" applyFill="1" applyBorder="1" applyAlignment="1">
      <alignment horizontal="center" vertical="center"/>
    </xf>
    <xf numFmtId="0" fontId="40" fillId="6" borderId="15" xfId="0" applyNumberFormat="1" applyFont="1" applyFill="1" applyBorder="1" applyAlignment="1">
      <alignment horizontal="center" vertical="center"/>
    </xf>
    <xf numFmtId="0" fontId="40" fillId="6" borderId="19" xfId="0" applyNumberFormat="1" applyFont="1" applyFill="1" applyBorder="1" applyAlignment="1">
      <alignment horizontal="center" vertical="center"/>
    </xf>
    <xf numFmtId="0" fontId="55" fillId="6" borderId="24" xfId="0" applyFont="1" applyFill="1" applyBorder="1" applyAlignment="1">
      <alignment horizontal="left" vertical="center" wrapText="1"/>
    </xf>
    <xf numFmtId="0" fontId="55" fillId="6" borderId="0" xfId="0" applyFont="1" applyFill="1" applyBorder="1" applyAlignment="1">
      <alignment horizontal="left" vertical="center" wrapText="1"/>
    </xf>
    <xf numFmtId="0" fontId="52" fillId="0" borderId="23" xfId="0" applyFont="1" applyBorder="1" applyAlignment="1"/>
  </cellXfs>
  <cellStyles count="38">
    <cellStyle name="Euro" xfId="1" xr:uid="{00000000-0005-0000-0000-000000000000}"/>
    <cellStyle name="Euro 2" xfId="18" xr:uid="{00000000-0005-0000-0000-000001000000}"/>
    <cellStyle name="Euro 2 2" xfId="32" xr:uid="{00000000-0005-0000-0000-000002000000}"/>
    <cellStyle name="Euro 3" xfId="26" xr:uid="{00000000-0005-0000-0000-000003000000}"/>
    <cellStyle name="Milliers 2" xfId="11" xr:uid="{00000000-0005-0000-0000-000004000000}"/>
    <cellStyle name="Milliers 2 2" xfId="22" xr:uid="{00000000-0005-0000-0000-000005000000}"/>
    <cellStyle name="Milliers 2 2 2" xfId="34" xr:uid="{00000000-0005-0000-0000-000006000000}"/>
    <cellStyle name="Milliers 2 3" xfId="28" xr:uid="{00000000-0005-0000-0000-000007000000}"/>
    <cellStyle name="Monétaire" xfId="14" builtinId="4"/>
    <cellStyle name="Monétaire 2" xfId="24" xr:uid="{00000000-0005-0000-0000-000009000000}"/>
    <cellStyle name="Monétaire 2 2" xfId="36" xr:uid="{00000000-0005-0000-0000-00000A000000}"/>
    <cellStyle name="Monétaire 3" xfId="30" xr:uid="{00000000-0005-0000-0000-00000B000000}"/>
    <cellStyle name="Normal" xfId="0" builtinId="0"/>
    <cellStyle name="Normal 2" xfId="2" xr:uid="{00000000-0005-0000-0000-00000D000000}"/>
    <cellStyle name="Normal 2 2" xfId="3" xr:uid="{00000000-0005-0000-0000-00000E000000}"/>
    <cellStyle name="Normal 2 2 2" xfId="10" xr:uid="{00000000-0005-0000-0000-00000F000000}"/>
    <cellStyle name="Normal 2 3" xfId="12" xr:uid="{00000000-0005-0000-0000-000010000000}"/>
    <cellStyle name="Normal 2 3 2" xfId="23" xr:uid="{00000000-0005-0000-0000-000011000000}"/>
    <cellStyle name="Normal 2 3 2 2" xfId="35" xr:uid="{00000000-0005-0000-0000-000012000000}"/>
    <cellStyle name="Normal 2 3 3" xfId="29" xr:uid="{00000000-0005-0000-0000-000013000000}"/>
    <cellStyle name="Normal 2 4" xfId="16" xr:uid="{00000000-0005-0000-0000-000014000000}"/>
    <cellStyle name="Normal 3" xfId="4" xr:uid="{00000000-0005-0000-0000-000015000000}"/>
    <cellStyle name="Normal 3 2" xfId="19" xr:uid="{00000000-0005-0000-0000-000016000000}"/>
    <cellStyle name="Normal 4" xfId="5" xr:uid="{00000000-0005-0000-0000-000017000000}"/>
    <cellStyle name="Normal 5" xfId="6" xr:uid="{00000000-0005-0000-0000-000018000000}"/>
    <cellStyle name="Normal 5 2" xfId="20" xr:uid="{00000000-0005-0000-0000-000019000000}"/>
    <cellStyle name="Normal 5 2 2" xfId="33" xr:uid="{00000000-0005-0000-0000-00001A000000}"/>
    <cellStyle name="Normal 5 3" xfId="27" xr:uid="{00000000-0005-0000-0000-00001B000000}"/>
    <cellStyle name="Normal 6" xfId="15" xr:uid="{00000000-0005-0000-0000-00001C000000}"/>
    <cellStyle name="Normal 6 2" xfId="25" xr:uid="{00000000-0005-0000-0000-00001D000000}"/>
    <cellStyle name="Normal 6 2 2" xfId="37" xr:uid="{00000000-0005-0000-0000-00001E000000}"/>
    <cellStyle name="Normal 6 3" xfId="31" xr:uid="{00000000-0005-0000-0000-00001F000000}"/>
    <cellStyle name="Normal_Feuil1" xfId="7" xr:uid="{00000000-0005-0000-0000-000020000000}"/>
    <cellStyle name="Pourcentage" xfId="13" builtinId="5"/>
    <cellStyle name="Pourcentage 2" xfId="8" xr:uid="{00000000-0005-0000-0000-000022000000}"/>
    <cellStyle name="Pourcentage 2 2" xfId="9" xr:uid="{00000000-0005-0000-0000-000023000000}"/>
    <cellStyle name="Pourcentage 2 2 2" xfId="21" xr:uid="{00000000-0005-0000-0000-000024000000}"/>
    <cellStyle name="Pourcentage 2 3" xfId="17" xr:uid="{00000000-0005-0000-0000-000025000000}"/>
  </cellStyles>
  <dxfs count="2">
    <dxf>
      <font>
        <color rgb="FF00B050"/>
      </font>
      <fill>
        <patternFill patternType="none">
          <bgColor auto="1"/>
        </patternFill>
      </fill>
    </dxf>
    <dxf>
      <font>
        <color rgb="FFFF0000"/>
      </font>
      <fill>
        <patternFill patternType="none">
          <bgColor auto="1"/>
        </patternFill>
      </fill>
    </dxf>
  </dxfs>
  <tableStyles count="0" defaultTableStyle="TableStyleMedium9" defaultPivotStyle="PivotStyleLight16"/>
  <colors>
    <mruColors>
      <color rgb="FFFF00FF"/>
      <color rgb="FFFF9966"/>
      <color rgb="FFFF0066"/>
      <color rgb="FF0082B0"/>
      <color rgb="FFA8AAB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2"/>
          <c:order val="2"/>
          <c:tx>
            <c:strRef>
              <c:f>EffectifGlobal!$M$3</c:f>
              <c:strCache>
                <c:ptCount val="1"/>
                <c:pt idx="0">
                  <c:v>Total</c:v>
                </c:pt>
              </c:strCache>
            </c:strRef>
          </c:tx>
          <c:spPr>
            <a:solidFill>
              <a:srgbClr val="0082B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alibri" panose="020F0502020204030204" pitchFamily="34" charset="0"/>
                    <a:ea typeface="+mn-ea"/>
                    <a:cs typeface="+mn-cs"/>
                  </a:defRPr>
                </a:pPr>
                <a:endParaRPr lang="fr-FR"/>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EffectifGlobal!$J$4:$J$12</c15:sqref>
                  </c15:fullRef>
                </c:ext>
              </c:extLst>
              <c:f>(EffectifGlobal!$J$4:$J$5,EffectifGlobal!$J$7:$J$12)</c:f>
              <c:strCache>
                <c:ptCount val="8"/>
                <c:pt idx="0">
                  <c:v>MAD</c:v>
                </c:pt>
                <c:pt idx="1">
                  <c:v>BU</c:v>
                </c:pt>
                <c:pt idx="2">
                  <c:v>AENES</c:v>
                </c:pt>
                <c:pt idx="3">
                  <c:v>2d degré</c:v>
                </c:pt>
                <c:pt idx="4">
                  <c:v>Cont. BIATSS</c:v>
                </c:pt>
                <c:pt idx="5">
                  <c:v>ITRF</c:v>
                </c:pt>
                <c:pt idx="6">
                  <c:v>Cont. enseignants</c:v>
                </c:pt>
                <c:pt idx="7">
                  <c:v>Enseignants chercheurs</c:v>
                </c:pt>
              </c:strCache>
            </c:strRef>
          </c:cat>
          <c:val>
            <c:numRef>
              <c:extLst>
                <c:ext xmlns:c15="http://schemas.microsoft.com/office/drawing/2012/chart" uri="{02D57815-91ED-43cb-92C2-25804820EDAC}">
                  <c15:fullRef>
                    <c15:sqref>EffectifGlobal!$M$4:$M$12</c15:sqref>
                  </c15:fullRef>
                </c:ext>
              </c:extLst>
              <c:f>(EffectifGlobal!$M$4:$M$5,EffectifGlobal!$M$7:$M$12)</c:f>
              <c:numCache>
                <c:formatCode>0%</c:formatCode>
                <c:ptCount val="8"/>
                <c:pt idx="0">
                  <c:v>2.1932424422050976E-2</c:v>
                </c:pt>
                <c:pt idx="1">
                  <c:v>2.5489033787788974E-2</c:v>
                </c:pt>
                <c:pt idx="2">
                  <c:v>4.4457617071724957E-2</c:v>
                </c:pt>
                <c:pt idx="3">
                  <c:v>9.7213989330171904E-2</c:v>
                </c:pt>
                <c:pt idx="4">
                  <c:v>0.15649081209247184</c:v>
                </c:pt>
                <c:pt idx="5">
                  <c:v>0.17190278601066983</c:v>
                </c:pt>
                <c:pt idx="6">
                  <c:v>0.1962062833432128</c:v>
                </c:pt>
                <c:pt idx="7">
                  <c:v>0.23295791345583877</c:v>
                </c:pt>
              </c:numCache>
            </c:numRef>
          </c:val>
          <c:extLst xmlns:c15="http://schemas.microsoft.com/office/drawing/2012/chart">
            <c:ext xmlns:c16="http://schemas.microsoft.com/office/drawing/2014/chart" uri="{C3380CC4-5D6E-409C-BE32-E72D297353CC}">
              <c16:uniqueId val="{00000003-C9B8-4249-B43C-78C237C68CE2}"/>
            </c:ext>
          </c:extLst>
        </c:ser>
        <c:dLbls>
          <c:showLegendKey val="0"/>
          <c:showVal val="1"/>
          <c:showCatName val="0"/>
          <c:showSerName val="0"/>
          <c:showPercent val="0"/>
          <c:showBubbleSize val="0"/>
        </c:dLbls>
        <c:gapWidth val="150"/>
        <c:shape val="box"/>
        <c:axId val="224293008"/>
        <c:axId val="224291048"/>
        <c:axId val="0"/>
        <c:extLst>
          <c:ext xmlns:c15="http://schemas.microsoft.com/office/drawing/2012/chart" uri="{02D57815-91ED-43cb-92C2-25804820EDAC}">
            <c15:filteredBarSeries>
              <c15:ser>
                <c:idx val="0"/>
                <c:order val="0"/>
                <c:tx>
                  <c:strRef>
                    <c:extLst>
                      <c:ext uri="{02D57815-91ED-43cb-92C2-25804820EDAC}">
                        <c15:formulaRef>
                          <c15:sqref>EffectifGlobal!$K$3</c15:sqref>
                        </c15:formulaRef>
                      </c:ext>
                    </c:extLst>
                    <c:strCache>
                      <c:ptCount val="1"/>
                      <c:pt idx="0">
                        <c:v>Femmes</c:v>
                      </c:pt>
                    </c:strCache>
                  </c:strRef>
                </c:tx>
                <c:spPr>
                  <a:solidFill>
                    <a:srgbClr val="7030A0"/>
                  </a:solidFill>
                  <a:ln>
                    <a:noFill/>
                  </a:ln>
                  <a:effectLst/>
                  <a:sp3d/>
                </c:spPr>
                <c:invertIfNegative val="0"/>
                <c:dLbls>
                  <c:delete val="1"/>
                </c:dLbls>
                <c:cat>
                  <c:strRef>
                    <c:extLst>
                      <c:ext uri="{02D57815-91ED-43cb-92C2-25804820EDAC}">
                        <c15:fullRef>
                          <c15:sqref>EffectifGlobal!$J$4:$J$12</c15:sqref>
                        </c15:fullRef>
                        <c15:formulaRef>
                          <c15:sqref>(EffectifGlobal!$J$4:$J$5,EffectifGlobal!$J$7:$J$12)</c15:sqref>
                        </c15:formulaRef>
                      </c:ext>
                    </c:extLst>
                    <c:strCache>
                      <c:ptCount val="8"/>
                      <c:pt idx="0">
                        <c:v>MAD</c:v>
                      </c:pt>
                      <c:pt idx="1">
                        <c:v>BU</c:v>
                      </c:pt>
                      <c:pt idx="2">
                        <c:v>AENES</c:v>
                      </c:pt>
                      <c:pt idx="3">
                        <c:v>2d degré</c:v>
                      </c:pt>
                      <c:pt idx="4">
                        <c:v>Cont. BIATSS</c:v>
                      </c:pt>
                      <c:pt idx="5">
                        <c:v>ITRF</c:v>
                      </c:pt>
                      <c:pt idx="6">
                        <c:v>Cont. enseignants</c:v>
                      </c:pt>
                      <c:pt idx="7">
                        <c:v>Enseignants chercheurs</c:v>
                      </c:pt>
                    </c:strCache>
                  </c:strRef>
                </c:cat>
                <c:val>
                  <c:numRef>
                    <c:extLst>
                      <c:ext uri="{02D57815-91ED-43cb-92C2-25804820EDAC}">
                        <c15:fullRef>
                          <c15:sqref>EffectifGlobal!$K$4:$K$12</c15:sqref>
                        </c15:fullRef>
                        <c15:formulaRef>
                          <c15:sqref>(EffectifGlobal!$K$4:$K$5,EffectifGlobal!$K$7:$K$12)</c15:sqref>
                        </c15:formulaRef>
                      </c:ext>
                    </c:extLst>
                    <c:numCache>
                      <c:formatCode>0%</c:formatCode>
                      <c:ptCount val="8"/>
                      <c:pt idx="0">
                        <c:v>1.1262596324836989E-2</c:v>
                      </c:pt>
                      <c:pt idx="1">
                        <c:v>1.6597510373443983E-2</c:v>
                      </c:pt>
                      <c:pt idx="2">
                        <c:v>3.8529934795494963E-2</c:v>
                      </c:pt>
                      <c:pt idx="3">
                        <c:v>4.090100770598696E-2</c:v>
                      </c:pt>
                      <c:pt idx="4">
                        <c:v>0.10906935388263189</c:v>
                      </c:pt>
                      <c:pt idx="5">
                        <c:v>0.11381149970361588</c:v>
                      </c:pt>
                      <c:pt idx="6">
                        <c:v>8.2394783639596916E-2</c:v>
                      </c:pt>
                      <c:pt idx="7">
                        <c:v>9.4250148192056904E-2</c:v>
                      </c:pt>
                    </c:numCache>
                  </c:numRef>
                </c:val>
                <c:extLst>
                  <c:ext xmlns:c16="http://schemas.microsoft.com/office/drawing/2014/chart" uri="{C3380CC4-5D6E-409C-BE32-E72D297353CC}">
                    <c16:uniqueId val="{00000000-3EA6-4D72-8BB2-71457DBAAE6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EffectifGlobal!$L$3</c15:sqref>
                        </c15:formulaRef>
                      </c:ext>
                    </c:extLst>
                    <c:strCache>
                      <c:ptCount val="1"/>
                      <c:pt idx="0">
                        <c:v>Hommes</c:v>
                      </c:pt>
                    </c:strCache>
                  </c:strRef>
                </c:tx>
                <c:spPr>
                  <a:solidFill>
                    <a:srgbClr val="00B0F0"/>
                  </a:solidFill>
                  <a:ln>
                    <a:noFill/>
                  </a:ln>
                  <a:effectLst/>
                  <a:sp3d/>
                </c:spPr>
                <c:invertIfNegative val="0"/>
                <c:dLbls>
                  <c:delete val="1"/>
                </c:dLbls>
                <c:cat>
                  <c:strRef>
                    <c:extLst>
                      <c:ext xmlns:c15="http://schemas.microsoft.com/office/drawing/2012/chart" uri="{02D57815-91ED-43cb-92C2-25804820EDAC}">
                        <c15:fullRef>
                          <c15:sqref>EffectifGlobal!$J$4:$J$12</c15:sqref>
                        </c15:fullRef>
                        <c15:formulaRef>
                          <c15:sqref>(EffectifGlobal!$J$4:$J$5,EffectifGlobal!$J$7:$J$12)</c15:sqref>
                        </c15:formulaRef>
                      </c:ext>
                    </c:extLst>
                    <c:strCache>
                      <c:ptCount val="8"/>
                      <c:pt idx="0">
                        <c:v>MAD</c:v>
                      </c:pt>
                      <c:pt idx="1">
                        <c:v>BU</c:v>
                      </c:pt>
                      <c:pt idx="2">
                        <c:v>AENES</c:v>
                      </c:pt>
                      <c:pt idx="3">
                        <c:v>2d degré</c:v>
                      </c:pt>
                      <c:pt idx="4">
                        <c:v>Cont. BIATSS</c:v>
                      </c:pt>
                      <c:pt idx="5">
                        <c:v>ITRF</c:v>
                      </c:pt>
                      <c:pt idx="6">
                        <c:v>Cont. enseignants</c:v>
                      </c:pt>
                      <c:pt idx="7">
                        <c:v>Enseignants chercheurs</c:v>
                      </c:pt>
                    </c:strCache>
                  </c:strRef>
                </c:cat>
                <c:val>
                  <c:numRef>
                    <c:extLst>
                      <c:ext xmlns:c15="http://schemas.microsoft.com/office/drawing/2012/chart" uri="{02D57815-91ED-43cb-92C2-25804820EDAC}">
                        <c15:fullRef>
                          <c15:sqref>EffectifGlobal!$L$4:$L$12</c15:sqref>
                        </c15:fullRef>
                        <c15:formulaRef>
                          <c15:sqref>(EffectifGlobal!$L$4:$L$5,EffectifGlobal!$L$7:$L$12)</c15:sqref>
                        </c15:formulaRef>
                      </c:ext>
                    </c:extLst>
                    <c:numCache>
                      <c:formatCode>0%</c:formatCode>
                      <c:ptCount val="8"/>
                      <c:pt idx="0">
                        <c:v>1.066982809721399E-2</c:v>
                      </c:pt>
                      <c:pt idx="1">
                        <c:v>8.8915234143449907E-3</c:v>
                      </c:pt>
                      <c:pt idx="2">
                        <c:v>5.9276822762299938E-3</c:v>
                      </c:pt>
                      <c:pt idx="3">
                        <c:v>5.6312981624184945E-2</c:v>
                      </c:pt>
                      <c:pt idx="4">
                        <c:v>4.7421458209839951E-2</c:v>
                      </c:pt>
                      <c:pt idx="5">
                        <c:v>5.8091286307053944E-2</c:v>
                      </c:pt>
                      <c:pt idx="6">
                        <c:v>0.11381149970361588</c:v>
                      </c:pt>
                      <c:pt idx="7">
                        <c:v>0.13870776526378187</c:v>
                      </c:pt>
                    </c:numCache>
                  </c:numRef>
                </c:val>
                <c:extLst xmlns:c15="http://schemas.microsoft.com/office/drawing/2012/chart">
                  <c:ext xmlns:c16="http://schemas.microsoft.com/office/drawing/2014/chart" uri="{C3380CC4-5D6E-409C-BE32-E72D297353CC}">
                    <c16:uniqueId val="{00000002-C9B8-4249-B43C-78C237C68CE2}"/>
                  </c:ext>
                </c:extLst>
              </c15:ser>
            </c15:filteredBarSeries>
          </c:ext>
        </c:extLst>
      </c:bar3DChart>
      <c:catAx>
        <c:axId val="2242930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1048"/>
        <c:crosses val="autoZero"/>
        <c:auto val="1"/>
        <c:lblAlgn val="ctr"/>
        <c:lblOffset val="100"/>
        <c:noMultiLvlLbl val="0"/>
      </c:catAx>
      <c:valAx>
        <c:axId val="2242910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3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CDI_ContratsEtudiants!$D$14</c:f>
              <c:strCache>
                <c:ptCount val="1"/>
                <c:pt idx="0">
                  <c:v>A</c:v>
                </c:pt>
              </c:strCache>
            </c:strRef>
          </c:tx>
          <c:marker>
            <c:symbol val="none"/>
          </c:marker>
          <c:cat>
            <c:numRef>
              <c:f>CDI_ContratsEtudiants!$C$15:$C$26</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CDI_ContratsEtudiants!$D$15:$D$26</c:f>
              <c:numCache>
                <c:formatCode>General</c:formatCode>
                <c:ptCount val="12"/>
                <c:pt idx="0">
                  <c:v>14</c:v>
                </c:pt>
                <c:pt idx="1">
                  <c:v>17</c:v>
                </c:pt>
                <c:pt idx="2">
                  <c:v>20</c:v>
                </c:pt>
                <c:pt idx="3">
                  <c:v>24</c:v>
                </c:pt>
                <c:pt idx="4">
                  <c:v>25</c:v>
                </c:pt>
                <c:pt idx="5">
                  <c:v>25</c:v>
                </c:pt>
                <c:pt idx="6">
                  <c:v>29</c:v>
                </c:pt>
                <c:pt idx="7">
                  <c:v>31</c:v>
                </c:pt>
                <c:pt idx="8">
                  <c:v>36</c:v>
                </c:pt>
                <c:pt idx="9">
                  <c:v>46</c:v>
                </c:pt>
                <c:pt idx="10">
                  <c:v>59</c:v>
                </c:pt>
                <c:pt idx="11">
                  <c:v>64</c:v>
                </c:pt>
              </c:numCache>
            </c:numRef>
          </c:val>
          <c:smooth val="0"/>
          <c:extLst>
            <c:ext xmlns:c16="http://schemas.microsoft.com/office/drawing/2014/chart" uri="{C3380CC4-5D6E-409C-BE32-E72D297353CC}">
              <c16:uniqueId val="{00000000-668A-46B8-9CBB-4F4EB521E70F}"/>
            </c:ext>
          </c:extLst>
        </c:ser>
        <c:ser>
          <c:idx val="1"/>
          <c:order val="1"/>
          <c:tx>
            <c:strRef>
              <c:f>CDI_ContratsEtudiants!$E$14</c:f>
              <c:strCache>
                <c:ptCount val="1"/>
                <c:pt idx="0">
                  <c:v>B</c:v>
                </c:pt>
              </c:strCache>
            </c:strRef>
          </c:tx>
          <c:marker>
            <c:symbol val="none"/>
          </c:marker>
          <c:cat>
            <c:numRef>
              <c:f>CDI_ContratsEtudiants!$C$15:$C$26</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CDI_ContratsEtudiants!$E$15:$E$26</c:f>
              <c:numCache>
                <c:formatCode>General</c:formatCode>
                <c:ptCount val="12"/>
                <c:pt idx="0">
                  <c:v>11</c:v>
                </c:pt>
                <c:pt idx="1">
                  <c:v>17</c:v>
                </c:pt>
                <c:pt idx="2">
                  <c:v>20</c:v>
                </c:pt>
                <c:pt idx="3">
                  <c:v>29</c:v>
                </c:pt>
                <c:pt idx="4">
                  <c:v>32</c:v>
                </c:pt>
                <c:pt idx="5">
                  <c:v>33</c:v>
                </c:pt>
                <c:pt idx="6">
                  <c:v>40</c:v>
                </c:pt>
                <c:pt idx="7">
                  <c:v>44</c:v>
                </c:pt>
                <c:pt idx="8">
                  <c:v>50</c:v>
                </c:pt>
                <c:pt idx="9">
                  <c:v>54</c:v>
                </c:pt>
                <c:pt idx="10">
                  <c:v>60</c:v>
                </c:pt>
                <c:pt idx="11">
                  <c:v>66</c:v>
                </c:pt>
              </c:numCache>
            </c:numRef>
          </c:val>
          <c:smooth val="0"/>
          <c:extLst>
            <c:ext xmlns:c16="http://schemas.microsoft.com/office/drawing/2014/chart" uri="{C3380CC4-5D6E-409C-BE32-E72D297353CC}">
              <c16:uniqueId val="{00000001-668A-46B8-9CBB-4F4EB521E70F}"/>
            </c:ext>
          </c:extLst>
        </c:ser>
        <c:ser>
          <c:idx val="2"/>
          <c:order val="2"/>
          <c:tx>
            <c:strRef>
              <c:f>CDI_ContratsEtudiants!$F$14</c:f>
              <c:strCache>
                <c:ptCount val="1"/>
                <c:pt idx="0">
                  <c:v>C</c:v>
                </c:pt>
              </c:strCache>
            </c:strRef>
          </c:tx>
          <c:marker>
            <c:symbol val="none"/>
          </c:marker>
          <c:cat>
            <c:numRef>
              <c:f>CDI_ContratsEtudiants!$C$15:$C$26</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CDI_ContratsEtudiants!$F$15:$F$26</c:f>
              <c:numCache>
                <c:formatCode>General</c:formatCode>
                <c:ptCount val="12"/>
                <c:pt idx="0">
                  <c:v>33</c:v>
                </c:pt>
                <c:pt idx="1">
                  <c:v>43</c:v>
                </c:pt>
                <c:pt idx="2">
                  <c:v>49</c:v>
                </c:pt>
                <c:pt idx="3">
                  <c:v>54</c:v>
                </c:pt>
                <c:pt idx="4">
                  <c:v>61</c:v>
                </c:pt>
                <c:pt idx="5">
                  <c:v>65</c:v>
                </c:pt>
                <c:pt idx="6">
                  <c:v>70</c:v>
                </c:pt>
                <c:pt idx="7">
                  <c:v>80</c:v>
                </c:pt>
                <c:pt idx="8">
                  <c:v>88</c:v>
                </c:pt>
                <c:pt idx="9">
                  <c:v>93</c:v>
                </c:pt>
                <c:pt idx="10">
                  <c:v>97</c:v>
                </c:pt>
                <c:pt idx="11">
                  <c:v>105</c:v>
                </c:pt>
              </c:numCache>
            </c:numRef>
          </c:val>
          <c:smooth val="0"/>
          <c:extLst>
            <c:ext xmlns:c16="http://schemas.microsoft.com/office/drawing/2014/chart" uri="{C3380CC4-5D6E-409C-BE32-E72D297353CC}">
              <c16:uniqueId val="{00000002-668A-46B8-9CBB-4F4EB521E70F}"/>
            </c:ext>
          </c:extLst>
        </c:ser>
        <c:dLbls>
          <c:showLegendKey val="0"/>
          <c:showVal val="0"/>
          <c:showCatName val="0"/>
          <c:showSerName val="0"/>
          <c:showPercent val="0"/>
          <c:showBubbleSize val="0"/>
        </c:dLbls>
        <c:smooth val="0"/>
        <c:axId val="225067272"/>
        <c:axId val="225066880"/>
      </c:lineChart>
      <c:catAx>
        <c:axId val="225067272"/>
        <c:scaling>
          <c:orientation val="minMax"/>
        </c:scaling>
        <c:delete val="0"/>
        <c:axPos val="b"/>
        <c:numFmt formatCode="General" sourceLinked="1"/>
        <c:majorTickMark val="out"/>
        <c:minorTickMark val="none"/>
        <c:tickLblPos val="nextTo"/>
        <c:txPr>
          <a:bodyPr rot="0" vert="horz"/>
          <a:lstStyle/>
          <a:p>
            <a:pPr>
              <a:defRPr/>
            </a:pPr>
            <a:endParaRPr lang="fr-FR"/>
          </a:p>
        </c:txPr>
        <c:crossAx val="225066880"/>
        <c:crosses val="autoZero"/>
        <c:auto val="1"/>
        <c:lblAlgn val="ctr"/>
        <c:lblOffset val="100"/>
        <c:noMultiLvlLbl val="0"/>
      </c:catAx>
      <c:valAx>
        <c:axId val="225066880"/>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225067272"/>
        <c:crosses val="autoZero"/>
        <c:crossBetween val="between"/>
      </c:valAx>
    </c:plotArea>
    <c:legend>
      <c:legendPos val="r"/>
      <c:layout>
        <c:manualLayout>
          <c:xMode val="edge"/>
          <c:yMode val="edge"/>
          <c:x val="0.89118455670805574"/>
          <c:y val="0.13012936561245311"/>
          <c:w val="8.0000181011856214E-2"/>
          <c:h val="0.58843698309628312"/>
        </c:manualLayout>
      </c:layout>
      <c:overlay val="0"/>
    </c:legend>
    <c:plotVisOnly val="1"/>
    <c:dispBlanksAs val="gap"/>
    <c:showDLblsOverMax val="0"/>
  </c:chart>
  <c:spPr>
    <a:ln>
      <a:noFill/>
    </a:ln>
  </c:spPr>
  <c:txPr>
    <a:bodyPr/>
    <a:lstStyle/>
    <a:p>
      <a:pPr>
        <a:defRPr sz="1000" b="0" i="0" u="none" strike="noStrike" baseline="0">
          <a:solidFill>
            <a:schemeClr val="bg1">
              <a:lumMod val="50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2.2250209907640648E-3"/>
                  <c:y val="1.0926758289205152E-16"/>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A2-4F7A-B5F9-018B8B2DFA33}"/>
                </c:ext>
              </c:extLst>
            </c:dLbl>
            <c:dLbl>
              <c:idx val="1"/>
              <c:layout>
                <c:manualLayout>
                  <c:x val="6.1611698815614976E-3"/>
                  <c:y val="-5.6844210920157382E-3"/>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2-4F7A-B5F9-018B8B2DFA33}"/>
                </c:ext>
              </c:extLst>
            </c:dLbl>
            <c:dLbl>
              <c:idx val="2"/>
              <c:layout>
                <c:manualLayout>
                  <c:x val="-2.0990764063811536E-3"/>
                  <c:y val="5.9601188269359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A2-4F7A-B5F9-018B8B2DFA33}"/>
                </c:ext>
              </c:extLst>
            </c:dLbl>
            <c:dLbl>
              <c:idx val="3"/>
              <c:layout>
                <c:manualLayout>
                  <c:x val="0"/>
                  <c:y val="5.9601188269359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A2-4F7A-B5F9-018B8B2DFA33}"/>
                </c:ext>
              </c:extLst>
            </c:dLbl>
            <c:dLbl>
              <c:idx val="4"/>
              <c:layout>
                <c:manualLayout>
                  <c:x val="-2.7777777777777809E-3"/>
                  <c:y val="-9.2592592592592657E-3"/>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A2-4F7A-B5F9-018B8B2DFA33}"/>
                </c:ext>
              </c:extLst>
            </c:dLbl>
            <c:dLbl>
              <c:idx val="5"/>
              <c:layout>
                <c:manualLayout>
                  <c:x val="0"/>
                  <c:y val="-9.2592592592592657E-3"/>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A2-4F7A-B5F9-018B8B2DFA33}"/>
                </c:ext>
              </c:extLst>
            </c:dLbl>
            <c:dLbl>
              <c:idx val="6"/>
              <c:layout>
                <c:manualLayout>
                  <c:x val="-8.677284357088E-4"/>
                  <c:y val="0"/>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9A2-4F7A-B5F9-018B8B2DFA33}"/>
                </c:ext>
              </c:extLst>
            </c:dLbl>
            <c:spPr>
              <a:noFill/>
              <a:ln w="25400">
                <a:noFill/>
              </a:ln>
            </c:spPr>
            <c:txPr>
              <a:bodyPr wrap="square" lIns="38100" tIns="19050" rIns="38100" bIns="19050" anchor="ctr">
                <a:spAutoFit/>
              </a:bodyPr>
              <a:lstStyle/>
              <a:p>
                <a:pPr>
                  <a:defRPr>
                    <a:solidFill>
                      <a:schemeClr val="tx1">
                        <a:lumMod val="75000"/>
                        <a:lumOff val="2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CDI_ContratsEtudiants!$K$62:$K$70</c:f>
              <c:strCache>
                <c:ptCount val="9"/>
                <c:pt idx="0">
                  <c:v>Animations culturelles</c:v>
                </c:pt>
                <c:pt idx="1">
                  <c:v>Aide insertion professionnelle</c:v>
                </c:pt>
                <c:pt idx="2">
                  <c:v>Soutien informatique</c:v>
                </c:pt>
                <c:pt idx="3">
                  <c:v>Appui aux personnels bibliothèque</c:v>
                </c:pt>
                <c:pt idx="4">
                  <c:v>Promotion offre de formation</c:v>
                </c:pt>
                <c:pt idx="5">
                  <c:v>Tutorat</c:v>
                </c:pt>
                <c:pt idx="6">
                  <c:v>Accueil et assistance étudiants handicapés</c:v>
                </c:pt>
                <c:pt idx="7">
                  <c:v>Tutorat PRL</c:v>
                </c:pt>
                <c:pt idx="8">
                  <c:v>Accueil des étudiants</c:v>
                </c:pt>
              </c:strCache>
            </c:strRef>
          </c:cat>
          <c:val>
            <c:numRef>
              <c:f>CDI_ContratsEtudiants!$L$62:$L$70</c:f>
              <c:numCache>
                <c:formatCode>0</c:formatCode>
                <c:ptCount val="9"/>
                <c:pt idx="0">
                  <c:v>37</c:v>
                </c:pt>
                <c:pt idx="1">
                  <c:v>318</c:v>
                </c:pt>
                <c:pt idx="2">
                  <c:v>430</c:v>
                </c:pt>
                <c:pt idx="3">
                  <c:v>2117</c:v>
                </c:pt>
                <c:pt idx="4">
                  <c:v>2216</c:v>
                </c:pt>
                <c:pt idx="5">
                  <c:v>3943</c:v>
                </c:pt>
                <c:pt idx="6">
                  <c:v>4459</c:v>
                </c:pt>
                <c:pt idx="7">
                  <c:v>6244</c:v>
                </c:pt>
                <c:pt idx="8">
                  <c:v>22395</c:v>
                </c:pt>
              </c:numCache>
            </c:numRef>
          </c:val>
          <c:extLst>
            <c:ext xmlns:c16="http://schemas.microsoft.com/office/drawing/2014/chart" uri="{C3380CC4-5D6E-409C-BE32-E72D297353CC}">
              <c16:uniqueId val="{00000007-39A2-4F7A-B5F9-018B8B2DFA33}"/>
            </c:ext>
          </c:extLst>
        </c:ser>
        <c:dLbls>
          <c:showLegendKey val="0"/>
          <c:showVal val="0"/>
          <c:showCatName val="0"/>
          <c:showSerName val="0"/>
          <c:showPercent val="0"/>
          <c:showBubbleSize val="0"/>
        </c:dLbls>
        <c:gapWidth val="150"/>
        <c:shape val="cylinder"/>
        <c:axId val="225068840"/>
        <c:axId val="224162344"/>
        <c:axId val="0"/>
      </c:bar3DChart>
      <c:catAx>
        <c:axId val="225068840"/>
        <c:scaling>
          <c:orientation val="minMax"/>
        </c:scaling>
        <c:delete val="0"/>
        <c:axPos val="l"/>
        <c:numFmt formatCode="General" sourceLinked="1"/>
        <c:majorTickMark val="out"/>
        <c:minorTickMark val="none"/>
        <c:tickLblPos val="nextTo"/>
        <c:txPr>
          <a:bodyPr rot="0" vert="horz"/>
          <a:lstStyle/>
          <a:p>
            <a:pPr>
              <a:defRPr/>
            </a:pPr>
            <a:endParaRPr lang="fr-FR"/>
          </a:p>
        </c:txPr>
        <c:crossAx val="224162344"/>
        <c:crosses val="autoZero"/>
        <c:auto val="1"/>
        <c:lblAlgn val="ctr"/>
        <c:lblOffset val="100"/>
        <c:noMultiLvlLbl val="0"/>
      </c:catAx>
      <c:valAx>
        <c:axId val="224162344"/>
        <c:scaling>
          <c:orientation val="minMax"/>
        </c:scaling>
        <c:delete val="0"/>
        <c:axPos val="b"/>
        <c:majorGridlines/>
        <c:numFmt formatCode="0" sourceLinked="1"/>
        <c:majorTickMark val="out"/>
        <c:minorTickMark val="none"/>
        <c:tickLblPos val="nextTo"/>
        <c:txPr>
          <a:bodyPr rot="0" vert="horz"/>
          <a:lstStyle/>
          <a:p>
            <a:pPr>
              <a:defRPr/>
            </a:pPr>
            <a:endParaRPr lang="fr-FR"/>
          </a:p>
        </c:txPr>
        <c:crossAx val="225068840"/>
        <c:crosses val="autoZero"/>
        <c:crossBetween val="between"/>
      </c:valAx>
      <c:spPr>
        <a:noFill/>
        <a:ln w="25400">
          <a:noFill/>
        </a:ln>
      </c:spPr>
    </c:plotArea>
    <c:plotVisOnly val="1"/>
    <c:dispBlanksAs val="gap"/>
    <c:showDLblsOverMax val="0"/>
  </c:chart>
  <c:spPr>
    <a:effectLst>
      <a:glow rad="177800">
        <a:schemeClr val="accent1">
          <a:satMod val="175000"/>
          <a:alpha val="40000"/>
        </a:schemeClr>
      </a:glow>
    </a:effectLst>
  </c:spPr>
  <c:txPr>
    <a:bodyPr/>
    <a:lstStyle/>
    <a:p>
      <a:pPr>
        <a:defRPr sz="800" b="0" i="0" u="none" strike="noStrike" baseline="0">
          <a:solidFill>
            <a:schemeClr val="bg1">
              <a:lumMod val="50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4.6887100721184988E-2"/>
          <c:y val="5.4495912806539509E-2"/>
          <c:w val="0.78793412384504335"/>
          <c:h val="0.81357756127941638"/>
        </c:manualLayout>
      </c:layout>
      <c:bar3DChart>
        <c:barDir val="bar"/>
        <c:grouping val="stacked"/>
        <c:varyColors val="0"/>
        <c:ser>
          <c:idx val="0"/>
          <c:order val="0"/>
          <c:tx>
            <c:strRef>
              <c:f>PyramideAges!$D$23</c:f>
              <c:strCache>
                <c:ptCount val="1"/>
                <c:pt idx="0">
                  <c:v>F</c:v>
                </c:pt>
              </c:strCache>
            </c:strRef>
          </c:tx>
          <c:spPr>
            <a:solidFill>
              <a:schemeClr val="accent1">
                <a:lumMod val="40000"/>
                <a:lumOff val="60000"/>
              </a:schemeClr>
            </a:solidFill>
          </c:spPr>
          <c:invertIfNegative val="0"/>
          <c:cat>
            <c:strRef>
              <c:f>PyramideAges!$C$24:$C$33</c:f>
              <c:strCache>
                <c:ptCount val="10"/>
                <c:pt idx="0">
                  <c:v>20-24 ans</c:v>
                </c:pt>
                <c:pt idx="1">
                  <c:v>25-29 ans</c:v>
                </c:pt>
                <c:pt idx="2">
                  <c:v>30-34 ans</c:v>
                </c:pt>
                <c:pt idx="3">
                  <c:v>35-39 ans</c:v>
                </c:pt>
                <c:pt idx="4">
                  <c:v>40-44 ans</c:v>
                </c:pt>
                <c:pt idx="5">
                  <c:v>45-49 ans</c:v>
                </c:pt>
                <c:pt idx="6">
                  <c:v>50-54 ans</c:v>
                </c:pt>
                <c:pt idx="7">
                  <c:v>55-59 ans</c:v>
                </c:pt>
                <c:pt idx="8">
                  <c:v>60-64 ans</c:v>
                </c:pt>
                <c:pt idx="9">
                  <c:v>&gt; 65 ans</c:v>
                </c:pt>
              </c:strCache>
            </c:strRef>
          </c:cat>
          <c:val>
            <c:numRef>
              <c:f>PyramideAges!$D$24:$D$33</c:f>
              <c:numCache>
                <c:formatCode>General</c:formatCode>
                <c:ptCount val="10"/>
                <c:pt idx="0">
                  <c:v>-2</c:v>
                </c:pt>
                <c:pt idx="1">
                  <c:v>-3</c:v>
                </c:pt>
                <c:pt idx="2">
                  <c:v>-24</c:v>
                </c:pt>
                <c:pt idx="3">
                  <c:v>-58</c:v>
                </c:pt>
                <c:pt idx="4">
                  <c:v>-82</c:v>
                </c:pt>
                <c:pt idx="5">
                  <c:v>-96</c:v>
                </c:pt>
                <c:pt idx="6">
                  <c:v>-108</c:v>
                </c:pt>
                <c:pt idx="7">
                  <c:v>-103</c:v>
                </c:pt>
                <c:pt idx="8">
                  <c:v>-52</c:v>
                </c:pt>
                <c:pt idx="9">
                  <c:v>-4</c:v>
                </c:pt>
              </c:numCache>
            </c:numRef>
          </c:val>
          <c:extLst>
            <c:ext xmlns:c16="http://schemas.microsoft.com/office/drawing/2014/chart" uri="{C3380CC4-5D6E-409C-BE32-E72D297353CC}">
              <c16:uniqueId val="{00000000-1833-45F5-B67A-8BA63B63A6AE}"/>
            </c:ext>
          </c:extLst>
        </c:ser>
        <c:ser>
          <c:idx val="1"/>
          <c:order val="1"/>
          <c:tx>
            <c:strRef>
              <c:f>PyramideAges!$E$23</c:f>
              <c:strCache>
                <c:ptCount val="1"/>
                <c:pt idx="0">
                  <c:v>M</c:v>
                </c:pt>
              </c:strCache>
            </c:strRef>
          </c:tx>
          <c:spPr>
            <a:solidFill>
              <a:schemeClr val="accent1">
                <a:lumMod val="75000"/>
              </a:schemeClr>
            </a:solidFill>
          </c:spPr>
          <c:invertIfNegative val="0"/>
          <c:cat>
            <c:strRef>
              <c:f>PyramideAges!$C$24:$C$33</c:f>
              <c:strCache>
                <c:ptCount val="10"/>
                <c:pt idx="0">
                  <c:v>20-24 ans</c:v>
                </c:pt>
                <c:pt idx="1">
                  <c:v>25-29 ans</c:v>
                </c:pt>
                <c:pt idx="2">
                  <c:v>30-34 ans</c:v>
                </c:pt>
                <c:pt idx="3">
                  <c:v>35-39 ans</c:v>
                </c:pt>
                <c:pt idx="4">
                  <c:v>40-44 ans</c:v>
                </c:pt>
                <c:pt idx="5">
                  <c:v>45-49 ans</c:v>
                </c:pt>
                <c:pt idx="6">
                  <c:v>50-54 ans</c:v>
                </c:pt>
                <c:pt idx="7">
                  <c:v>55-59 ans</c:v>
                </c:pt>
                <c:pt idx="8">
                  <c:v>60-64 ans</c:v>
                </c:pt>
                <c:pt idx="9">
                  <c:v>&gt; 65 ans</c:v>
                </c:pt>
              </c:strCache>
            </c:strRef>
          </c:cat>
          <c:val>
            <c:numRef>
              <c:f>PyramideAges!$E$24:$E$33</c:f>
              <c:numCache>
                <c:formatCode>General</c:formatCode>
                <c:ptCount val="10"/>
                <c:pt idx="0">
                  <c:v>0</c:v>
                </c:pt>
                <c:pt idx="1">
                  <c:v>2</c:v>
                </c:pt>
                <c:pt idx="2">
                  <c:v>23</c:v>
                </c:pt>
                <c:pt idx="3">
                  <c:v>48</c:v>
                </c:pt>
                <c:pt idx="4">
                  <c:v>71</c:v>
                </c:pt>
                <c:pt idx="5">
                  <c:v>88</c:v>
                </c:pt>
                <c:pt idx="6">
                  <c:v>104</c:v>
                </c:pt>
                <c:pt idx="7">
                  <c:v>98</c:v>
                </c:pt>
                <c:pt idx="8">
                  <c:v>71</c:v>
                </c:pt>
                <c:pt idx="9">
                  <c:v>16</c:v>
                </c:pt>
              </c:numCache>
            </c:numRef>
          </c:val>
          <c:extLst>
            <c:ext xmlns:c16="http://schemas.microsoft.com/office/drawing/2014/chart" uri="{C3380CC4-5D6E-409C-BE32-E72D297353CC}">
              <c16:uniqueId val="{00000001-1833-45F5-B67A-8BA63B63A6AE}"/>
            </c:ext>
          </c:extLst>
        </c:ser>
        <c:dLbls>
          <c:showLegendKey val="0"/>
          <c:showVal val="0"/>
          <c:showCatName val="0"/>
          <c:showSerName val="0"/>
          <c:showPercent val="0"/>
          <c:showBubbleSize val="0"/>
        </c:dLbls>
        <c:gapWidth val="30"/>
        <c:gapDepth val="30"/>
        <c:shape val="box"/>
        <c:axId val="220350992"/>
        <c:axId val="220348640"/>
        <c:axId val="0"/>
      </c:bar3DChart>
      <c:catAx>
        <c:axId val="22035099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48640"/>
        <c:crosses val="autoZero"/>
        <c:auto val="1"/>
        <c:lblAlgn val="ctr"/>
        <c:lblOffset val="100"/>
        <c:noMultiLvlLbl val="0"/>
      </c:catAx>
      <c:valAx>
        <c:axId val="22034864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0350992"/>
        <c:crosses val="autoZero"/>
        <c:crossBetween val="between"/>
      </c:valAx>
      <c:spPr>
        <a:noFill/>
        <a:ln w="25400">
          <a:noFill/>
        </a:ln>
      </c:spPr>
    </c:plotArea>
    <c:legend>
      <c:legendPos val="r"/>
      <c:overlay val="0"/>
      <c:txPr>
        <a:bodyPr/>
        <a:lstStyle/>
        <a:p>
          <a:pPr>
            <a:defRPr sz="62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4.6887100721184988E-2"/>
          <c:y val="5.4495912806539509E-2"/>
          <c:w val="0.78793412384504335"/>
          <c:h val="0.81306219067920527"/>
        </c:manualLayout>
      </c:layout>
      <c:bar3DChart>
        <c:barDir val="bar"/>
        <c:grouping val="stacked"/>
        <c:varyColors val="0"/>
        <c:ser>
          <c:idx val="0"/>
          <c:order val="0"/>
          <c:tx>
            <c:strRef>
              <c:f>PyramideAges!$L$22</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PyramideAges!$K$23:$K$33</c15:sqref>
                  </c15:fullRef>
                </c:ext>
              </c:extLst>
              <c:f>PyramideAges!$K$24:$K$33</c:f>
              <c:strCache>
                <c:ptCount val="10"/>
                <c:pt idx="0">
                  <c:v>20-24 ans</c:v>
                </c:pt>
                <c:pt idx="1">
                  <c:v>25-29 ans</c:v>
                </c:pt>
                <c:pt idx="2">
                  <c:v>30-34 ans</c:v>
                </c:pt>
                <c:pt idx="3">
                  <c:v>35-39 ans</c:v>
                </c:pt>
                <c:pt idx="4">
                  <c:v>40-44 ans</c:v>
                </c:pt>
                <c:pt idx="5">
                  <c:v>45-49 ans</c:v>
                </c:pt>
                <c:pt idx="6">
                  <c:v>50-54 ans</c:v>
                </c:pt>
                <c:pt idx="7">
                  <c:v>55-59 ans</c:v>
                </c:pt>
                <c:pt idx="8">
                  <c:v>60-64 ans</c:v>
                </c:pt>
                <c:pt idx="9">
                  <c:v>&gt; 65 ans</c:v>
                </c:pt>
              </c:strCache>
            </c:strRef>
          </c:cat>
          <c:val>
            <c:numRef>
              <c:extLst>
                <c:ext xmlns:c15="http://schemas.microsoft.com/office/drawing/2012/chart" uri="{02D57815-91ED-43cb-92C2-25804820EDAC}">
                  <c15:fullRef>
                    <c15:sqref>PyramideAges!$L$23:$L$33</c15:sqref>
                  </c15:fullRef>
                </c:ext>
              </c:extLst>
              <c:f>PyramideAges!$L$24:$L$33</c:f>
              <c:numCache>
                <c:formatCode>General</c:formatCode>
                <c:ptCount val="10"/>
                <c:pt idx="0">
                  <c:v>-29</c:v>
                </c:pt>
                <c:pt idx="1">
                  <c:v>-90</c:v>
                </c:pt>
                <c:pt idx="2">
                  <c:v>-53</c:v>
                </c:pt>
                <c:pt idx="3">
                  <c:v>-51</c:v>
                </c:pt>
                <c:pt idx="4">
                  <c:v>-39</c:v>
                </c:pt>
                <c:pt idx="5">
                  <c:v>-22</c:v>
                </c:pt>
                <c:pt idx="6">
                  <c:v>-18</c:v>
                </c:pt>
                <c:pt idx="7">
                  <c:v>-17</c:v>
                </c:pt>
                <c:pt idx="8">
                  <c:v>-7</c:v>
                </c:pt>
                <c:pt idx="9">
                  <c:v>0</c:v>
                </c:pt>
              </c:numCache>
            </c:numRef>
          </c:val>
          <c:extLst>
            <c:ext xmlns:c16="http://schemas.microsoft.com/office/drawing/2014/chart" uri="{C3380CC4-5D6E-409C-BE32-E72D297353CC}">
              <c16:uniqueId val="{00000000-BFE2-49C0-8B32-DF888F487658}"/>
            </c:ext>
          </c:extLst>
        </c:ser>
        <c:ser>
          <c:idx val="1"/>
          <c:order val="1"/>
          <c:tx>
            <c:strRef>
              <c:f>PyramideAges!$M$22</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PyramideAges!$K$23:$K$33</c15:sqref>
                  </c15:fullRef>
                </c:ext>
              </c:extLst>
              <c:f>PyramideAges!$K$24:$K$33</c:f>
              <c:strCache>
                <c:ptCount val="10"/>
                <c:pt idx="0">
                  <c:v>20-24 ans</c:v>
                </c:pt>
                <c:pt idx="1">
                  <c:v>25-29 ans</c:v>
                </c:pt>
                <c:pt idx="2">
                  <c:v>30-34 ans</c:v>
                </c:pt>
                <c:pt idx="3">
                  <c:v>35-39 ans</c:v>
                </c:pt>
                <c:pt idx="4">
                  <c:v>40-44 ans</c:v>
                </c:pt>
                <c:pt idx="5">
                  <c:v>45-49 ans</c:v>
                </c:pt>
                <c:pt idx="6">
                  <c:v>50-54 ans</c:v>
                </c:pt>
                <c:pt idx="7">
                  <c:v>55-59 ans</c:v>
                </c:pt>
                <c:pt idx="8">
                  <c:v>60-64 ans</c:v>
                </c:pt>
                <c:pt idx="9">
                  <c:v>&gt; 65 ans</c:v>
                </c:pt>
              </c:strCache>
            </c:strRef>
          </c:cat>
          <c:val>
            <c:numRef>
              <c:extLst>
                <c:ext xmlns:c15="http://schemas.microsoft.com/office/drawing/2012/chart" uri="{02D57815-91ED-43cb-92C2-25804820EDAC}">
                  <c15:fullRef>
                    <c15:sqref>PyramideAges!$M$23:$M$33</c15:sqref>
                  </c15:fullRef>
                </c:ext>
              </c:extLst>
              <c:f>PyramideAges!$M$24:$M$33</c:f>
              <c:numCache>
                <c:formatCode>General</c:formatCode>
                <c:ptCount val="10"/>
                <c:pt idx="0">
                  <c:v>28</c:v>
                </c:pt>
                <c:pt idx="1">
                  <c:v>87</c:v>
                </c:pt>
                <c:pt idx="2">
                  <c:v>68</c:v>
                </c:pt>
                <c:pt idx="3">
                  <c:v>24</c:v>
                </c:pt>
                <c:pt idx="4">
                  <c:v>25</c:v>
                </c:pt>
                <c:pt idx="5">
                  <c:v>15</c:v>
                </c:pt>
                <c:pt idx="6">
                  <c:v>8</c:v>
                </c:pt>
                <c:pt idx="7">
                  <c:v>14</c:v>
                </c:pt>
                <c:pt idx="8">
                  <c:v>3</c:v>
                </c:pt>
                <c:pt idx="9">
                  <c:v>0</c:v>
                </c:pt>
              </c:numCache>
            </c:numRef>
          </c:val>
          <c:extLst>
            <c:ext xmlns:c16="http://schemas.microsoft.com/office/drawing/2014/chart" uri="{C3380CC4-5D6E-409C-BE32-E72D297353CC}">
              <c16:uniqueId val="{00000001-BFE2-49C0-8B32-DF888F487658}"/>
            </c:ext>
          </c:extLst>
        </c:ser>
        <c:dLbls>
          <c:showLegendKey val="0"/>
          <c:showVal val="0"/>
          <c:showCatName val="0"/>
          <c:showSerName val="0"/>
          <c:showPercent val="0"/>
          <c:showBubbleSize val="0"/>
        </c:dLbls>
        <c:gapWidth val="30"/>
        <c:gapDepth val="30"/>
        <c:shape val="box"/>
        <c:axId val="220350992"/>
        <c:axId val="220348640"/>
        <c:axId val="0"/>
      </c:bar3DChart>
      <c:catAx>
        <c:axId val="22035099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48640"/>
        <c:crosses val="autoZero"/>
        <c:auto val="1"/>
        <c:lblAlgn val="ctr"/>
        <c:lblOffset val="100"/>
        <c:noMultiLvlLbl val="0"/>
      </c:catAx>
      <c:valAx>
        <c:axId val="22034864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0350992"/>
        <c:crosses val="autoZero"/>
        <c:crossBetween val="between"/>
      </c:valAx>
      <c:spPr>
        <a:noFill/>
        <a:ln w="25400">
          <a:noFill/>
        </a:ln>
      </c:spPr>
    </c:plotArea>
    <c:legend>
      <c:legendPos val="r"/>
      <c:overlay val="0"/>
      <c:txPr>
        <a:bodyPr/>
        <a:lstStyle/>
        <a:p>
          <a:pPr>
            <a:defRPr sz="62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4.8904189548167304E-2"/>
          <c:y val="5.4495965782055018E-2"/>
          <c:w val="0.78793412384504335"/>
          <c:h val="0.81357756127941638"/>
        </c:manualLayout>
      </c:layout>
      <c:bar3DChart>
        <c:barDir val="bar"/>
        <c:grouping val="stacked"/>
        <c:varyColors val="0"/>
        <c:ser>
          <c:idx val="0"/>
          <c:order val="0"/>
          <c:tx>
            <c:strRef>
              <c:f>PyramideAges!$C$5</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PyramideAges!$B$6:$B$16</c15:sqref>
                  </c15:fullRef>
                </c:ext>
              </c:extLst>
              <c:f>PyramideAges!$B$7:$B$16</c:f>
              <c:strCache>
                <c:ptCount val="10"/>
                <c:pt idx="0">
                  <c:v>20-24 ans</c:v>
                </c:pt>
                <c:pt idx="1">
                  <c:v>25-29 ans</c:v>
                </c:pt>
                <c:pt idx="2">
                  <c:v>30-34 ans</c:v>
                </c:pt>
                <c:pt idx="3">
                  <c:v>35-39 ans</c:v>
                </c:pt>
                <c:pt idx="4">
                  <c:v>40-44 ans</c:v>
                </c:pt>
                <c:pt idx="5">
                  <c:v>45-49 ans</c:v>
                </c:pt>
                <c:pt idx="6">
                  <c:v>50-54 ans</c:v>
                </c:pt>
                <c:pt idx="7">
                  <c:v>55-59 ans</c:v>
                </c:pt>
                <c:pt idx="8">
                  <c:v>60-64 ans</c:v>
                </c:pt>
                <c:pt idx="9">
                  <c:v>&gt; 65 ans</c:v>
                </c:pt>
              </c:strCache>
            </c:strRef>
          </c:cat>
          <c:val>
            <c:numRef>
              <c:extLst>
                <c:ext xmlns:c15="http://schemas.microsoft.com/office/drawing/2012/chart" uri="{02D57815-91ED-43cb-92C2-25804820EDAC}">
                  <c15:fullRef>
                    <c15:sqref>PyramideAges!$C$6:$C$16</c15:sqref>
                  </c15:fullRef>
                </c:ext>
              </c:extLst>
              <c:f>PyramideAges!$C$7:$C$16</c:f>
              <c:numCache>
                <c:formatCode>General</c:formatCode>
                <c:ptCount val="10"/>
                <c:pt idx="0">
                  <c:v>-31</c:v>
                </c:pt>
                <c:pt idx="1">
                  <c:v>-93</c:v>
                </c:pt>
                <c:pt idx="2">
                  <c:v>-77</c:v>
                </c:pt>
                <c:pt idx="3">
                  <c:v>-109</c:v>
                </c:pt>
                <c:pt idx="4">
                  <c:v>-121</c:v>
                </c:pt>
                <c:pt idx="5">
                  <c:v>-118</c:v>
                </c:pt>
                <c:pt idx="6">
                  <c:v>-126</c:v>
                </c:pt>
                <c:pt idx="7">
                  <c:v>-120</c:v>
                </c:pt>
                <c:pt idx="8">
                  <c:v>-59</c:v>
                </c:pt>
                <c:pt idx="9">
                  <c:v>-4</c:v>
                </c:pt>
              </c:numCache>
            </c:numRef>
          </c:val>
          <c:extLst>
            <c:ext xmlns:c16="http://schemas.microsoft.com/office/drawing/2014/chart" uri="{C3380CC4-5D6E-409C-BE32-E72D297353CC}">
              <c16:uniqueId val="{00000000-2460-482B-89C8-69AA06F496DD}"/>
            </c:ext>
          </c:extLst>
        </c:ser>
        <c:ser>
          <c:idx val="1"/>
          <c:order val="1"/>
          <c:tx>
            <c:strRef>
              <c:f>PyramideAges!$D$5</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PyramideAges!$B$6:$B$16</c15:sqref>
                  </c15:fullRef>
                </c:ext>
              </c:extLst>
              <c:f>PyramideAges!$B$7:$B$16</c:f>
              <c:strCache>
                <c:ptCount val="10"/>
                <c:pt idx="0">
                  <c:v>20-24 ans</c:v>
                </c:pt>
                <c:pt idx="1">
                  <c:v>25-29 ans</c:v>
                </c:pt>
                <c:pt idx="2">
                  <c:v>30-34 ans</c:v>
                </c:pt>
                <c:pt idx="3">
                  <c:v>35-39 ans</c:v>
                </c:pt>
                <c:pt idx="4">
                  <c:v>40-44 ans</c:v>
                </c:pt>
                <c:pt idx="5">
                  <c:v>45-49 ans</c:v>
                </c:pt>
                <c:pt idx="6">
                  <c:v>50-54 ans</c:v>
                </c:pt>
                <c:pt idx="7">
                  <c:v>55-59 ans</c:v>
                </c:pt>
                <c:pt idx="8">
                  <c:v>60-64 ans</c:v>
                </c:pt>
                <c:pt idx="9">
                  <c:v>&gt; 65 ans</c:v>
                </c:pt>
              </c:strCache>
            </c:strRef>
          </c:cat>
          <c:val>
            <c:numRef>
              <c:extLst>
                <c:ext xmlns:c15="http://schemas.microsoft.com/office/drawing/2012/chart" uri="{02D57815-91ED-43cb-92C2-25804820EDAC}">
                  <c15:fullRef>
                    <c15:sqref>PyramideAges!$D$6:$D$16</c15:sqref>
                  </c15:fullRef>
                </c:ext>
              </c:extLst>
              <c:f>PyramideAges!$D$7:$D$16</c:f>
              <c:numCache>
                <c:formatCode>General</c:formatCode>
                <c:ptCount val="10"/>
                <c:pt idx="0">
                  <c:v>28</c:v>
                </c:pt>
                <c:pt idx="1">
                  <c:v>89</c:v>
                </c:pt>
                <c:pt idx="2">
                  <c:v>91</c:v>
                </c:pt>
                <c:pt idx="3">
                  <c:v>72</c:v>
                </c:pt>
                <c:pt idx="4">
                  <c:v>96</c:v>
                </c:pt>
                <c:pt idx="5">
                  <c:v>103</c:v>
                </c:pt>
                <c:pt idx="6">
                  <c:v>112</c:v>
                </c:pt>
                <c:pt idx="7">
                  <c:v>112</c:v>
                </c:pt>
                <c:pt idx="8">
                  <c:v>74</c:v>
                </c:pt>
                <c:pt idx="9">
                  <c:v>16</c:v>
                </c:pt>
              </c:numCache>
            </c:numRef>
          </c:val>
          <c:extLst>
            <c:ext xmlns:c16="http://schemas.microsoft.com/office/drawing/2014/chart" uri="{C3380CC4-5D6E-409C-BE32-E72D297353CC}">
              <c16:uniqueId val="{00000001-2460-482B-89C8-69AA06F496DD}"/>
            </c:ext>
          </c:extLst>
        </c:ser>
        <c:dLbls>
          <c:showLegendKey val="0"/>
          <c:showVal val="0"/>
          <c:showCatName val="0"/>
          <c:showSerName val="0"/>
          <c:showPercent val="0"/>
          <c:showBubbleSize val="0"/>
        </c:dLbls>
        <c:gapWidth val="30"/>
        <c:gapDepth val="30"/>
        <c:shape val="box"/>
        <c:axId val="220350992"/>
        <c:axId val="220348640"/>
        <c:axId val="0"/>
      </c:bar3DChart>
      <c:catAx>
        <c:axId val="22035099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48640"/>
        <c:crosses val="autoZero"/>
        <c:auto val="1"/>
        <c:lblAlgn val="ctr"/>
        <c:lblOffset val="100"/>
        <c:noMultiLvlLbl val="0"/>
      </c:catAx>
      <c:valAx>
        <c:axId val="22034864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0350992"/>
        <c:crosses val="autoZero"/>
        <c:crossBetween val="between"/>
      </c:valAx>
      <c:spPr>
        <a:noFill/>
        <a:ln w="25400">
          <a:noFill/>
        </a:ln>
      </c:spPr>
    </c:plotArea>
    <c:legend>
      <c:legendPos val="r"/>
      <c:overlay val="0"/>
      <c:txPr>
        <a:bodyPr/>
        <a:lstStyle/>
        <a:p>
          <a:pPr>
            <a:defRPr sz="62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PyramideAgesENS!$F$4</c:f>
              <c:strCache>
                <c:ptCount val="1"/>
                <c:pt idx="0">
                  <c:v>F</c:v>
                </c:pt>
              </c:strCache>
            </c:strRef>
          </c:tx>
          <c:spPr>
            <a:solidFill>
              <a:schemeClr val="accent1">
                <a:lumMod val="40000"/>
                <a:lumOff val="60000"/>
              </a:schemeClr>
            </a:solidFill>
          </c:spPr>
          <c:invertIfNegative val="0"/>
          <c:cat>
            <c:strRef>
              <c:f>PyramideAgesENS!$E$6:$E$14</c:f>
              <c:strCache>
                <c:ptCount val="9"/>
                <c:pt idx="0">
                  <c:v>25-29 ans</c:v>
                </c:pt>
                <c:pt idx="1">
                  <c:v>30-34 ans</c:v>
                </c:pt>
                <c:pt idx="2">
                  <c:v>35-39 ans</c:v>
                </c:pt>
                <c:pt idx="3">
                  <c:v>40-44 ans</c:v>
                </c:pt>
                <c:pt idx="4">
                  <c:v>45-49 ans</c:v>
                </c:pt>
                <c:pt idx="5">
                  <c:v>50-54 ans</c:v>
                </c:pt>
                <c:pt idx="6">
                  <c:v>55-59 ans</c:v>
                </c:pt>
                <c:pt idx="7">
                  <c:v>60-64 ans</c:v>
                </c:pt>
                <c:pt idx="8">
                  <c:v>&gt; 65 ans</c:v>
                </c:pt>
              </c:strCache>
            </c:strRef>
          </c:cat>
          <c:val>
            <c:numRef>
              <c:f>PyramideAgesENS!$F$6:$F$14</c:f>
              <c:numCache>
                <c:formatCode>General</c:formatCode>
                <c:ptCount val="9"/>
                <c:pt idx="0">
                  <c:v>0</c:v>
                </c:pt>
                <c:pt idx="1">
                  <c:v>-15</c:v>
                </c:pt>
                <c:pt idx="2">
                  <c:v>-28</c:v>
                </c:pt>
                <c:pt idx="3">
                  <c:v>-39</c:v>
                </c:pt>
                <c:pt idx="4">
                  <c:v>-51</c:v>
                </c:pt>
                <c:pt idx="5">
                  <c:v>-46</c:v>
                </c:pt>
                <c:pt idx="6">
                  <c:v>-48</c:v>
                </c:pt>
                <c:pt idx="7">
                  <c:v>-19</c:v>
                </c:pt>
                <c:pt idx="8">
                  <c:v>-2</c:v>
                </c:pt>
              </c:numCache>
            </c:numRef>
          </c:val>
          <c:extLst>
            <c:ext xmlns:c16="http://schemas.microsoft.com/office/drawing/2014/chart" uri="{C3380CC4-5D6E-409C-BE32-E72D297353CC}">
              <c16:uniqueId val="{00000000-D4AE-4F88-B290-D4E34D6643C2}"/>
            </c:ext>
          </c:extLst>
        </c:ser>
        <c:ser>
          <c:idx val="1"/>
          <c:order val="1"/>
          <c:tx>
            <c:strRef>
              <c:f>PyramideAgesENS!$G$4</c:f>
              <c:strCache>
                <c:ptCount val="1"/>
                <c:pt idx="0">
                  <c:v>M</c:v>
                </c:pt>
              </c:strCache>
            </c:strRef>
          </c:tx>
          <c:spPr>
            <a:solidFill>
              <a:schemeClr val="accent1">
                <a:lumMod val="75000"/>
              </a:schemeClr>
            </a:solidFill>
          </c:spPr>
          <c:invertIfNegative val="0"/>
          <c:cat>
            <c:strRef>
              <c:f>PyramideAgesENS!$E$6:$E$14</c:f>
              <c:strCache>
                <c:ptCount val="9"/>
                <c:pt idx="0">
                  <c:v>25-29 ans</c:v>
                </c:pt>
                <c:pt idx="1">
                  <c:v>30-34 ans</c:v>
                </c:pt>
                <c:pt idx="2">
                  <c:v>35-39 ans</c:v>
                </c:pt>
                <c:pt idx="3">
                  <c:v>40-44 ans</c:v>
                </c:pt>
                <c:pt idx="4">
                  <c:v>45-49 ans</c:v>
                </c:pt>
                <c:pt idx="5">
                  <c:v>50-54 ans</c:v>
                </c:pt>
                <c:pt idx="6">
                  <c:v>55-59 ans</c:v>
                </c:pt>
                <c:pt idx="7">
                  <c:v>60-64 ans</c:v>
                </c:pt>
                <c:pt idx="8">
                  <c:v>&gt; 65 ans</c:v>
                </c:pt>
              </c:strCache>
            </c:strRef>
          </c:cat>
          <c:val>
            <c:numRef>
              <c:f>PyramideAgesENS!$G$6:$G$14</c:f>
              <c:numCache>
                <c:formatCode>General</c:formatCode>
                <c:ptCount val="9"/>
                <c:pt idx="0">
                  <c:v>1</c:v>
                </c:pt>
                <c:pt idx="1">
                  <c:v>16</c:v>
                </c:pt>
                <c:pt idx="2">
                  <c:v>39</c:v>
                </c:pt>
                <c:pt idx="3">
                  <c:v>62</c:v>
                </c:pt>
                <c:pt idx="4">
                  <c:v>66</c:v>
                </c:pt>
                <c:pt idx="5">
                  <c:v>78</c:v>
                </c:pt>
                <c:pt idx="6">
                  <c:v>69</c:v>
                </c:pt>
                <c:pt idx="7">
                  <c:v>57</c:v>
                </c:pt>
                <c:pt idx="8">
                  <c:v>21</c:v>
                </c:pt>
              </c:numCache>
            </c:numRef>
          </c:val>
          <c:extLst>
            <c:ext xmlns:c16="http://schemas.microsoft.com/office/drawing/2014/chart" uri="{C3380CC4-5D6E-409C-BE32-E72D297353CC}">
              <c16:uniqueId val="{00000001-D4AE-4F88-B290-D4E34D6643C2}"/>
            </c:ext>
          </c:extLst>
        </c:ser>
        <c:dLbls>
          <c:showLegendKey val="0"/>
          <c:showVal val="0"/>
          <c:showCatName val="0"/>
          <c:showSerName val="0"/>
          <c:showPercent val="0"/>
          <c:showBubbleSize val="0"/>
        </c:dLbls>
        <c:gapWidth val="30"/>
        <c:gapDepth val="30"/>
        <c:shape val="box"/>
        <c:axId val="224161168"/>
        <c:axId val="224163520"/>
        <c:axId val="0"/>
      </c:bar3DChart>
      <c:catAx>
        <c:axId val="224161168"/>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4163520"/>
        <c:crosses val="autoZero"/>
        <c:auto val="1"/>
        <c:lblAlgn val="ctr"/>
        <c:lblOffset val="100"/>
        <c:noMultiLvlLbl val="0"/>
      </c:catAx>
      <c:valAx>
        <c:axId val="22416352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168"/>
        <c:crosses val="autoZero"/>
        <c:crossBetween val="between"/>
      </c:valAx>
      <c:spPr>
        <a:noFill/>
        <a:ln w="25400">
          <a:noFill/>
        </a:ln>
      </c:spPr>
    </c:plotArea>
    <c:legend>
      <c:legendPos val="r"/>
      <c:layout>
        <c:manualLayout>
          <c:xMode val="edge"/>
          <c:yMode val="edge"/>
          <c:x val="0.94950343596430975"/>
          <c:y val="0.36299987091777464"/>
          <c:w val="4.3049397586363648E-2"/>
          <c:h val="0.37350200077449336"/>
        </c:manualLayout>
      </c:layout>
      <c:overlay val="0"/>
      <c:txPr>
        <a:bodyPr/>
        <a:lstStyle/>
        <a:p>
          <a:pPr>
            <a:defRPr sz="1100" b="0" i="0" u="none" strike="noStrike" baseline="0">
              <a:solidFill>
                <a:schemeClr val="tx1"/>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PyramideAgesENS!$B$30</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PyramideAgesENS!$A$31:$A$42</c15:sqref>
                  </c15:fullRef>
                </c:ext>
              </c:extLst>
              <c:f>(PyramideAgesENS!$A$32:$A$37,PyramideAgesENS!$A$41:$A$42)</c:f>
              <c:strCache>
                <c:ptCount val="6"/>
                <c:pt idx="0">
                  <c:v>30-34 ans</c:v>
                </c:pt>
                <c:pt idx="1">
                  <c:v>35-39 ans</c:v>
                </c:pt>
                <c:pt idx="2">
                  <c:v>40-44 ans</c:v>
                </c:pt>
                <c:pt idx="3">
                  <c:v>45-49 ans</c:v>
                </c:pt>
                <c:pt idx="4">
                  <c:v>50-54 ans</c:v>
                </c:pt>
                <c:pt idx="5">
                  <c:v>55-59 ans</c:v>
                </c:pt>
              </c:strCache>
            </c:strRef>
          </c:cat>
          <c:val>
            <c:numRef>
              <c:extLst>
                <c:ext xmlns:c15="http://schemas.microsoft.com/office/drawing/2012/chart" uri="{02D57815-91ED-43cb-92C2-25804820EDAC}">
                  <c15:fullRef>
                    <c15:sqref>PyramideAgesENS!$B$31:$B$40</c15:sqref>
                  </c15:fullRef>
                </c:ext>
              </c:extLst>
              <c:f>PyramideAgesENS!$B$32:$B$37</c:f>
              <c:numCache>
                <c:formatCode>General</c:formatCode>
                <c:ptCount val="6"/>
                <c:pt idx="2">
                  <c:v>-3</c:v>
                </c:pt>
                <c:pt idx="3">
                  <c:v>-12</c:v>
                </c:pt>
                <c:pt idx="4">
                  <c:v>-5</c:v>
                </c:pt>
                <c:pt idx="5">
                  <c:v>-7</c:v>
                </c:pt>
              </c:numCache>
            </c:numRef>
          </c:val>
          <c:extLst>
            <c:ext xmlns:c16="http://schemas.microsoft.com/office/drawing/2014/chart" uri="{C3380CC4-5D6E-409C-BE32-E72D297353CC}">
              <c16:uniqueId val="{00000000-5518-4748-B9CD-0813AB30162A}"/>
            </c:ext>
          </c:extLst>
        </c:ser>
        <c:ser>
          <c:idx val="1"/>
          <c:order val="1"/>
          <c:tx>
            <c:strRef>
              <c:f>PyramideAgesENS!$C$30</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PyramideAgesENS!$A$31:$A$42</c15:sqref>
                  </c15:fullRef>
                </c:ext>
              </c:extLst>
              <c:f>(PyramideAgesENS!$A$32:$A$37,PyramideAgesENS!$A$41:$A$42)</c:f>
              <c:strCache>
                <c:ptCount val="6"/>
                <c:pt idx="0">
                  <c:v>30-34 ans</c:v>
                </c:pt>
                <c:pt idx="1">
                  <c:v>35-39 ans</c:v>
                </c:pt>
                <c:pt idx="2">
                  <c:v>40-44 ans</c:v>
                </c:pt>
                <c:pt idx="3">
                  <c:v>45-49 ans</c:v>
                </c:pt>
                <c:pt idx="4">
                  <c:v>50-54 ans</c:v>
                </c:pt>
                <c:pt idx="5">
                  <c:v>55-59 ans</c:v>
                </c:pt>
              </c:strCache>
            </c:strRef>
          </c:cat>
          <c:val>
            <c:numRef>
              <c:extLst>
                <c:ext xmlns:c15="http://schemas.microsoft.com/office/drawing/2012/chart" uri="{02D57815-91ED-43cb-92C2-25804820EDAC}">
                  <c15:fullRef>
                    <c15:sqref>PyramideAgesENS!$C$31:$C$40</c15:sqref>
                  </c15:fullRef>
                </c:ext>
              </c:extLst>
              <c:f>PyramideAgesENS!$C$32:$C$37</c:f>
              <c:numCache>
                <c:formatCode>General</c:formatCode>
                <c:ptCount val="6"/>
                <c:pt idx="0">
                  <c:v>1</c:v>
                </c:pt>
                <c:pt idx="1">
                  <c:v>3</c:v>
                </c:pt>
                <c:pt idx="2">
                  <c:v>16</c:v>
                </c:pt>
                <c:pt idx="3">
                  <c:v>17</c:v>
                </c:pt>
                <c:pt idx="4">
                  <c:v>28</c:v>
                </c:pt>
                <c:pt idx="5">
                  <c:v>31</c:v>
                </c:pt>
              </c:numCache>
            </c:numRef>
          </c:val>
          <c:extLst>
            <c:ext xmlns:c16="http://schemas.microsoft.com/office/drawing/2014/chart" uri="{C3380CC4-5D6E-409C-BE32-E72D297353CC}">
              <c16:uniqueId val="{00000001-5518-4748-B9CD-0813AB30162A}"/>
            </c:ext>
          </c:extLst>
        </c:ser>
        <c:dLbls>
          <c:showLegendKey val="0"/>
          <c:showVal val="0"/>
          <c:showCatName val="0"/>
          <c:showSerName val="0"/>
          <c:showPercent val="0"/>
          <c:showBubbleSize val="0"/>
        </c:dLbls>
        <c:gapWidth val="30"/>
        <c:gapDepth val="30"/>
        <c:shape val="box"/>
        <c:axId val="224161168"/>
        <c:axId val="224163520"/>
        <c:axId val="0"/>
      </c:bar3DChart>
      <c:catAx>
        <c:axId val="224161168"/>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4163520"/>
        <c:crosses val="autoZero"/>
        <c:auto val="1"/>
        <c:lblAlgn val="ctr"/>
        <c:lblOffset val="100"/>
        <c:noMultiLvlLbl val="0"/>
      </c:catAx>
      <c:valAx>
        <c:axId val="22416352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168"/>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5.903907952418698E-2"/>
          <c:y val="3.3514048448861924E-2"/>
          <c:w val="0.75491089929548283"/>
          <c:h val="0.87127163616231973"/>
        </c:manualLayout>
      </c:layout>
      <c:bar3DChart>
        <c:barDir val="bar"/>
        <c:grouping val="stacked"/>
        <c:varyColors val="0"/>
        <c:ser>
          <c:idx val="0"/>
          <c:order val="0"/>
          <c:tx>
            <c:strRef>
              <c:f>PyramideAgesENS!$H$30</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PyramideAgesENS!$G$31:$G$39</c15:sqref>
                  </c15:fullRef>
                </c:ext>
              </c:extLst>
              <c:f>PyramideAgesENS!$G$32:$G$38</c:f>
              <c:strCache>
                <c:ptCount val="7"/>
                <c:pt idx="0">
                  <c:v>30-34 ans</c:v>
                </c:pt>
                <c:pt idx="1">
                  <c:v>35-39 ans</c:v>
                </c:pt>
                <c:pt idx="2">
                  <c:v>40-44 ans</c:v>
                </c:pt>
                <c:pt idx="3">
                  <c:v>45-49 ans</c:v>
                </c:pt>
                <c:pt idx="4">
                  <c:v>50-54 ans</c:v>
                </c:pt>
                <c:pt idx="5">
                  <c:v>55-59 ans</c:v>
                </c:pt>
                <c:pt idx="6">
                  <c:v>60-64 ans</c:v>
                </c:pt>
              </c:strCache>
            </c:strRef>
          </c:cat>
          <c:val>
            <c:numRef>
              <c:extLst>
                <c:ext xmlns:c15="http://schemas.microsoft.com/office/drawing/2012/chart" uri="{02D57815-91ED-43cb-92C2-25804820EDAC}">
                  <c15:fullRef>
                    <c15:sqref>PyramideAgesENS!$H$31:$H$39</c15:sqref>
                  </c15:fullRef>
                </c:ext>
              </c:extLst>
              <c:f>PyramideAgesENS!$H$32:$H$38</c:f>
              <c:numCache>
                <c:formatCode>General</c:formatCode>
                <c:ptCount val="7"/>
                <c:pt idx="0">
                  <c:v>-7</c:v>
                </c:pt>
                <c:pt idx="1">
                  <c:v>-23</c:v>
                </c:pt>
                <c:pt idx="2">
                  <c:v>-27</c:v>
                </c:pt>
                <c:pt idx="3">
                  <c:v>-26</c:v>
                </c:pt>
                <c:pt idx="4">
                  <c:v>-23</c:v>
                </c:pt>
                <c:pt idx="5">
                  <c:v>-25</c:v>
                </c:pt>
                <c:pt idx="6">
                  <c:v>-12</c:v>
                </c:pt>
              </c:numCache>
            </c:numRef>
          </c:val>
          <c:extLst>
            <c:ext xmlns:c16="http://schemas.microsoft.com/office/drawing/2014/chart" uri="{C3380CC4-5D6E-409C-BE32-E72D297353CC}">
              <c16:uniqueId val="{00000000-47F1-4B5D-BBB4-0F2B2D806299}"/>
            </c:ext>
          </c:extLst>
        </c:ser>
        <c:ser>
          <c:idx val="1"/>
          <c:order val="1"/>
          <c:tx>
            <c:strRef>
              <c:f>PyramideAgesENS!$I$30</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PyramideAgesENS!$G$31:$G$39</c15:sqref>
                  </c15:fullRef>
                </c:ext>
              </c:extLst>
              <c:f>PyramideAgesENS!$G$32:$G$38</c:f>
              <c:strCache>
                <c:ptCount val="7"/>
                <c:pt idx="0">
                  <c:v>30-34 ans</c:v>
                </c:pt>
                <c:pt idx="1">
                  <c:v>35-39 ans</c:v>
                </c:pt>
                <c:pt idx="2">
                  <c:v>40-44 ans</c:v>
                </c:pt>
                <c:pt idx="3">
                  <c:v>45-49 ans</c:v>
                </c:pt>
                <c:pt idx="4">
                  <c:v>50-54 ans</c:v>
                </c:pt>
                <c:pt idx="5">
                  <c:v>55-59 ans</c:v>
                </c:pt>
                <c:pt idx="6">
                  <c:v>60-64 ans</c:v>
                </c:pt>
              </c:strCache>
            </c:strRef>
          </c:cat>
          <c:val>
            <c:numRef>
              <c:extLst>
                <c:ext xmlns:c15="http://schemas.microsoft.com/office/drawing/2012/chart" uri="{02D57815-91ED-43cb-92C2-25804820EDAC}">
                  <c15:fullRef>
                    <c15:sqref>PyramideAgesENS!$I$31:$I$39</c15:sqref>
                  </c15:fullRef>
                </c:ext>
              </c:extLst>
              <c:f>PyramideAgesENS!$I$32:$I$38</c:f>
              <c:numCache>
                <c:formatCode>General</c:formatCode>
                <c:ptCount val="7"/>
                <c:pt idx="0">
                  <c:v>15</c:v>
                </c:pt>
                <c:pt idx="1">
                  <c:v>25</c:v>
                </c:pt>
                <c:pt idx="2">
                  <c:v>28</c:v>
                </c:pt>
                <c:pt idx="3">
                  <c:v>26</c:v>
                </c:pt>
                <c:pt idx="4">
                  <c:v>29</c:v>
                </c:pt>
                <c:pt idx="5">
                  <c:v>26</c:v>
                </c:pt>
                <c:pt idx="6">
                  <c:v>11</c:v>
                </c:pt>
              </c:numCache>
            </c:numRef>
          </c:val>
          <c:extLst>
            <c:ext xmlns:c16="http://schemas.microsoft.com/office/drawing/2014/chart" uri="{C3380CC4-5D6E-409C-BE32-E72D297353CC}">
              <c16:uniqueId val="{00000001-47F1-4B5D-BBB4-0F2B2D806299}"/>
            </c:ext>
          </c:extLst>
        </c:ser>
        <c:dLbls>
          <c:showLegendKey val="0"/>
          <c:showVal val="0"/>
          <c:showCatName val="0"/>
          <c:showSerName val="0"/>
          <c:showPercent val="0"/>
          <c:showBubbleSize val="0"/>
        </c:dLbls>
        <c:gapWidth val="30"/>
        <c:gapDepth val="30"/>
        <c:shape val="box"/>
        <c:axId val="224161168"/>
        <c:axId val="224163520"/>
        <c:axId val="0"/>
      </c:bar3DChart>
      <c:catAx>
        <c:axId val="224161168"/>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4163520"/>
        <c:crosses val="autoZero"/>
        <c:auto val="1"/>
        <c:lblAlgn val="ctr"/>
        <c:lblOffset val="100"/>
        <c:noMultiLvlLbl val="0"/>
      </c:catAx>
      <c:valAx>
        <c:axId val="22416352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168"/>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4.9428966833691246E-2"/>
          <c:y val="4.4049898586398281E-2"/>
          <c:w val="0.72485226846644168"/>
          <c:h val="0.84649436467500383"/>
        </c:manualLayout>
      </c:layout>
      <c:bar3DChart>
        <c:barDir val="bar"/>
        <c:grouping val="stacked"/>
        <c:varyColors val="0"/>
        <c:ser>
          <c:idx val="0"/>
          <c:order val="0"/>
          <c:tx>
            <c:strRef>
              <c:f>PyramideAgesENS!$N$30</c:f>
              <c:strCache>
                <c:ptCount val="1"/>
                <c:pt idx="0">
                  <c:v>F</c:v>
                </c:pt>
              </c:strCache>
            </c:strRef>
          </c:tx>
          <c:spPr>
            <a:solidFill>
              <a:schemeClr val="accent1">
                <a:lumMod val="40000"/>
                <a:lumOff val="60000"/>
              </a:schemeClr>
            </a:solidFill>
          </c:spPr>
          <c:invertIfNegative val="0"/>
          <c:cat>
            <c:strRef>
              <c:f>PyramideAgesENS!$M$31:$M$39</c:f>
              <c:strCache>
                <c:ptCount val="9"/>
                <c:pt idx="0">
                  <c:v>25-29 ans</c:v>
                </c:pt>
                <c:pt idx="1">
                  <c:v>30-34 ans</c:v>
                </c:pt>
                <c:pt idx="2">
                  <c:v>35-39 ans</c:v>
                </c:pt>
                <c:pt idx="3">
                  <c:v>40-44 ans</c:v>
                </c:pt>
                <c:pt idx="4">
                  <c:v>45-49 ans</c:v>
                </c:pt>
                <c:pt idx="5">
                  <c:v>50-54 ans</c:v>
                </c:pt>
                <c:pt idx="6">
                  <c:v>55-59 ans</c:v>
                </c:pt>
                <c:pt idx="7">
                  <c:v>60-64 ans</c:v>
                </c:pt>
                <c:pt idx="8">
                  <c:v>&gt; 65 ans</c:v>
                </c:pt>
              </c:strCache>
            </c:strRef>
          </c:cat>
          <c:val>
            <c:numRef>
              <c:f>PyramideAgesENS!$N$31:$N$39</c:f>
              <c:numCache>
                <c:formatCode>General</c:formatCode>
                <c:ptCount val="9"/>
                <c:pt idx="0">
                  <c:v>-1</c:v>
                </c:pt>
                <c:pt idx="1">
                  <c:v>-2</c:v>
                </c:pt>
                <c:pt idx="2">
                  <c:v>-12</c:v>
                </c:pt>
                <c:pt idx="3">
                  <c:v>-8</c:v>
                </c:pt>
                <c:pt idx="4">
                  <c:v>-9</c:v>
                </c:pt>
                <c:pt idx="5">
                  <c:v>-16</c:v>
                </c:pt>
                <c:pt idx="6">
                  <c:v>-17</c:v>
                </c:pt>
                <c:pt idx="7">
                  <c:v>-4</c:v>
                </c:pt>
                <c:pt idx="8">
                  <c:v>0</c:v>
                </c:pt>
              </c:numCache>
            </c:numRef>
          </c:val>
          <c:extLst>
            <c:ext xmlns:c16="http://schemas.microsoft.com/office/drawing/2014/chart" uri="{C3380CC4-5D6E-409C-BE32-E72D297353CC}">
              <c16:uniqueId val="{00000000-22B5-45D1-9C2F-B3BF765DE462}"/>
            </c:ext>
          </c:extLst>
        </c:ser>
        <c:ser>
          <c:idx val="1"/>
          <c:order val="1"/>
          <c:tx>
            <c:strRef>
              <c:f>PyramideAgesENS!$O$30</c:f>
              <c:strCache>
                <c:ptCount val="1"/>
                <c:pt idx="0">
                  <c:v>M</c:v>
                </c:pt>
              </c:strCache>
            </c:strRef>
          </c:tx>
          <c:spPr>
            <a:solidFill>
              <a:schemeClr val="accent1">
                <a:lumMod val="75000"/>
              </a:schemeClr>
            </a:solidFill>
          </c:spPr>
          <c:invertIfNegative val="0"/>
          <c:cat>
            <c:strRef>
              <c:f>PyramideAgesENS!$M$31:$M$39</c:f>
              <c:strCache>
                <c:ptCount val="9"/>
                <c:pt idx="0">
                  <c:v>25-29 ans</c:v>
                </c:pt>
                <c:pt idx="1">
                  <c:v>30-34 ans</c:v>
                </c:pt>
                <c:pt idx="2">
                  <c:v>35-39 ans</c:v>
                </c:pt>
                <c:pt idx="3">
                  <c:v>40-44 ans</c:v>
                </c:pt>
                <c:pt idx="4">
                  <c:v>45-49 ans</c:v>
                </c:pt>
                <c:pt idx="5">
                  <c:v>50-54 ans</c:v>
                </c:pt>
                <c:pt idx="6">
                  <c:v>55-59 ans</c:v>
                </c:pt>
                <c:pt idx="7">
                  <c:v>60-64 ans</c:v>
                </c:pt>
                <c:pt idx="8">
                  <c:v>&gt; 65 ans</c:v>
                </c:pt>
              </c:strCache>
            </c:strRef>
          </c:cat>
          <c:val>
            <c:numRef>
              <c:f>PyramideAgesENS!$O$31:$O$39</c:f>
              <c:numCache>
                <c:formatCode>General</c:formatCode>
                <c:ptCount val="9"/>
                <c:pt idx="0">
                  <c:v>2</c:v>
                </c:pt>
                <c:pt idx="1">
                  <c:v>4</c:v>
                </c:pt>
                <c:pt idx="2">
                  <c:v>6</c:v>
                </c:pt>
                <c:pt idx="3">
                  <c:v>14</c:v>
                </c:pt>
                <c:pt idx="4">
                  <c:v>21</c:v>
                </c:pt>
                <c:pt idx="5">
                  <c:v>14</c:v>
                </c:pt>
                <c:pt idx="6">
                  <c:v>17</c:v>
                </c:pt>
                <c:pt idx="7">
                  <c:v>16</c:v>
                </c:pt>
                <c:pt idx="8">
                  <c:v>1</c:v>
                </c:pt>
              </c:numCache>
            </c:numRef>
          </c:val>
          <c:extLst>
            <c:ext xmlns:c16="http://schemas.microsoft.com/office/drawing/2014/chart" uri="{C3380CC4-5D6E-409C-BE32-E72D297353CC}">
              <c16:uniqueId val="{00000001-22B5-45D1-9C2F-B3BF765DE462}"/>
            </c:ext>
          </c:extLst>
        </c:ser>
        <c:dLbls>
          <c:showLegendKey val="0"/>
          <c:showVal val="0"/>
          <c:showCatName val="0"/>
          <c:showSerName val="0"/>
          <c:showPercent val="0"/>
          <c:showBubbleSize val="0"/>
        </c:dLbls>
        <c:gapWidth val="30"/>
        <c:gapDepth val="30"/>
        <c:shape val="box"/>
        <c:axId val="224161168"/>
        <c:axId val="224163520"/>
        <c:axId val="0"/>
      </c:bar3DChart>
      <c:catAx>
        <c:axId val="224161168"/>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4163520"/>
        <c:crosses val="autoZero"/>
        <c:auto val="1"/>
        <c:lblAlgn val="ctr"/>
        <c:lblOffset val="100"/>
        <c:noMultiLvlLbl val="0"/>
      </c:catAx>
      <c:valAx>
        <c:axId val="22416352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168"/>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PyramideAgesENS!$E$55</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PyramideAgesENS!$D$56:$D$65</c15:sqref>
                  </c15:fullRef>
                </c:ext>
              </c:extLst>
              <c:f>PyramideAgesENS!$D$56:$D$64</c:f>
              <c:strCache>
                <c:ptCount val="9"/>
                <c:pt idx="0">
                  <c:v>20-24 ans</c:v>
                </c:pt>
                <c:pt idx="1">
                  <c:v>25-29 ans</c:v>
                </c:pt>
                <c:pt idx="2">
                  <c:v>30-34 ans</c:v>
                </c:pt>
                <c:pt idx="3">
                  <c:v>35-39 ans</c:v>
                </c:pt>
                <c:pt idx="4">
                  <c:v>40-44 ans</c:v>
                </c:pt>
                <c:pt idx="5">
                  <c:v>45-49 ans</c:v>
                </c:pt>
                <c:pt idx="6">
                  <c:v>50-54 ans</c:v>
                </c:pt>
                <c:pt idx="7">
                  <c:v>55-59 ans</c:v>
                </c:pt>
                <c:pt idx="8">
                  <c:v>60-64 ans</c:v>
                </c:pt>
              </c:strCache>
            </c:strRef>
          </c:cat>
          <c:val>
            <c:numRef>
              <c:extLst>
                <c:ext xmlns:c15="http://schemas.microsoft.com/office/drawing/2012/chart" uri="{02D57815-91ED-43cb-92C2-25804820EDAC}">
                  <c15:fullRef>
                    <c15:sqref>PyramideAgesENS!$E$56:$E$65</c15:sqref>
                  </c15:fullRef>
                </c:ext>
              </c:extLst>
              <c:f>PyramideAgesENS!$E$56:$E$64</c:f>
              <c:numCache>
                <c:formatCode>General</c:formatCode>
                <c:ptCount val="9"/>
                <c:pt idx="0">
                  <c:v>-14</c:v>
                </c:pt>
                <c:pt idx="1">
                  <c:v>-57</c:v>
                </c:pt>
                <c:pt idx="2">
                  <c:v>-30</c:v>
                </c:pt>
                <c:pt idx="3">
                  <c:v>-15</c:v>
                </c:pt>
                <c:pt idx="4">
                  <c:v>-6</c:v>
                </c:pt>
                <c:pt idx="5">
                  <c:v>-4</c:v>
                </c:pt>
                <c:pt idx="6">
                  <c:v>-2</c:v>
                </c:pt>
                <c:pt idx="7">
                  <c:v>-2</c:v>
                </c:pt>
                <c:pt idx="8">
                  <c:v>0</c:v>
                </c:pt>
              </c:numCache>
            </c:numRef>
          </c:val>
          <c:extLst>
            <c:ext xmlns:c16="http://schemas.microsoft.com/office/drawing/2014/chart" uri="{C3380CC4-5D6E-409C-BE32-E72D297353CC}">
              <c16:uniqueId val="{00000000-6A5F-49DD-9457-24D07FA822CC}"/>
            </c:ext>
          </c:extLst>
        </c:ser>
        <c:ser>
          <c:idx val="1"/>
          <c:order val="1"/>
          <c:tx>
            <c:strRef>
              <c:f>PyramideAgesENS!$F$55</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PyramideAgesENS!$D$56:$D$65</c15:sqref>
                  </c15:fullRef>
                </c:ext>
              </c:extLst>
              <c:f>PyramideAgesENS!$D$56:$D$64</c:f>
              <c:strCache>
                <c:ptCount val="9"/>
                <c:pt idx="0">
                  <c:v>20-24 ans</c:v>
                </c:pt>
                <c:pt idx="1">
                  <c:v>25-29 ans</c:v>
                </c:pt>
                <c:pt idx="2">
                  <c:v>30-34 ans</c:v>
                </c:pt>
                <c:pt idx="3">
                  <c:v>35-39 ans</c:v>
                </c:pt>
                <c:pt idx="4">
                  <c:v>40-44 ans</c:v>
                </c:pt>
                <c:pt idx="5">
                  <c:v>45-49 ans</c:v>
                </c:pt>
                <c:pt idx="6">
                  <c:v>50-54 ans</c:v>
                </c:pt>
                <c:pt idx="7">
                  <c:v>55-59 ans</c:v>
                </c:pt>
                <c:pt idx="8">
                  <c:v>60-64 ans</c:v>
                </c:pt>
              </c:strCache>
            </c:strRef>
          </c:cat>
          <c:val>
            <c:numRef>
              <c:extLst>
                <c:ext xmlns:c15="http://schemas.microsoft.com/office/drawing/2012/chart" uri="{02D57815-91ED-43cb-92C2-25804820EDAC}">
                  <c15:fullRef>
                    <c15:sqref>PyramideAgesENS!$F$56:$F$65</c15:sqref>
                  </c15:fullRef>
                </c:ext>
              </c:extLst>
              <c:f>PyramideAgesENS!$F$56:$F$64</c:f>
              <c:numCache>
                <c:formatCode>General</c:formatCode>
                <c:ptCount val="9"/>
                <c:pt idx="0">
                  <c:v>20</c:v>
                </c:pt>
                <c:pt idx="1">
                  <c:v>70</c:v>
                </c:pt>
                <c:pt idx="2">
                  <c:v>57</c:v>
                </c:pt>
                <c:pt idx="3">
                  <c:v>13</c:v>
                </c:pt>
                <c:pt idx="4">
                  <c:v>13</c:v>
                </c:pt>
                <c:pt idx="5">
                  <c:v>4</c:v>
                </c:pt>
                <c:pt idx="6">
                  <c:v>2</c:v>
                </c:pt>
                <c:pt idx="7">
                  <c:v>2</c:v>
                </c:pt>
                <c:pt idx="8">
                  <c:v>1</c:v>
                </c:pt>
              </c:numCache>
            </c:numRef>
          </c:val>
          <c:extLst>
            <c:ext xmlns:c16="http://schemas.microsoft.com/office/drawing/2014/chart" uri="{C3380CC4-5D6E-409C-BE32-E72D297353CC}">
              <c16:uniqueId val="{00000001-6A5F-49DD-9457-24D07FA822CC}"/>
            </c:ext>
          </c:extLst>
        </c:ser>
        <c:dLbls>
          <c:showLegendKey val="0"/>
          <c:showVal val="0"/>
          <c:showCatName val="0"/>
          <c:showSerName val="0"/>
          <c:showPercent val="0"/>
          <c:showBubbleSize val="0"/>
        </c:dLbls>
        <c:gapWidth val="30"/>
        <c:gapDepth val="30"/>
        <c:shape val="box"/>
        <c:axId val="224246856"/>
        <c:axId val="224247248"/>
        <c:axId val="0"/>
      </c:bar3DChart>
      <c:catAx>
        <c:axId val="224246856"/>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4247248"/>
        <c:crosses val="autoZero"/>
        <c:auto val="1"/>
        <c:lblAlgn val="ctr"/>
        <c:lblOffset val="100"/>
        <c:noMultiLvlLbl val="0"/>
      </c:catAx>
      <c:valAx>
        <c:axId val="224247248"/>
        <c:scaling>
          <c:orientation val="minMax"/>
        </c:scaling>
        <c:delete val="0"/>
        <c:axPos val="b"/>
        <c:majorGridlines/>
        <c:numFmt formatCode="0;00" sourceLinked="0"/>
        <c:majorTickMark val="out"/>
        <c:minorTickMark val="none"/>
        <c:tickLblPos val="low"/>
        <c:txPr>
          <a:bodyPr rot="0" vert="horz"/>
          <a:lstStyle/>
          <a:p>
            <a:pPr>
              <a:defRPr sz="800" b="0" i="0" u="none" strike="noStrike" baseline="0">
                <a:solidFill>
                  <a:srgbClr val="000000"/>
                </a:solidFill>
                <a:latin typeface="Calibri"/>
                <a:ea typeface="Calibri"/>
                <a:cs typeface="Calibri"/>
              </a:defRPr>
            </a:pPr>
            <a:endParaRPr lang="fr-FR"/>
          </a:p>
        </c:txPr>
        <c:crossAx val="224246856"/>
        <c:crosses val="autoZero"/>
        <c:crossBetween val="between"/>
      </c:valAx>
      <c:spPr>
        <a:noFill/>
        <a:ln w="25400">
          <a:noFill/>
        </a:ln>
      </c:spPr>
    </c:plotArea>
    <c:legend>
      <c:legendPos val="r"/>
      <c:layout>
        <c:manualLayout>
          <c:xMode val="edge"/>
          <c:yMode val="edge"/>
          <c:x val="0.92050511207019636"/>
          <c:y val="0.40336410154613028"/>
          <c:w val="5.85776804050121E-2"/>
          <c:h val="0.18487505238315788"/>
        </c:manualLayout>
      </c:layout>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2"/>
          <c:order val="2"/>
          <c:tx>
            <c:strRef>
              <c:f>EffectifGlobal!$M$90</c:f>
              <c:strCache>
                <c:ptCount val="1"/>
                <c:pt idx="0">
                  <c:v>Total</c:v>
                </c:pt>
              </c:strCache>
            </c:strRef>
          </c:tx>
          <c:spPr>
            <a:solidFill>
              <a:srgbClr val="0082B0"/>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alibri" panose="020F0502020204030204" pitchFamily="34" charset="0"/>
                    <a:ea typeface="+mn-ea"/>
                    <a:cs typeface="+mn-cs"/>
                  </a:defRPr>
                </a:pPr>
                <a:endParaRPr lang="fr-FR"/>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EffectifGlobal!$J$91:$J$99</c:f>
              <c:strCache>
                <c:ptCount val="9"/>
                <c:pt idx="0">
                  <c:v>MAD</c:v>
                </c:pt>
                <c:pt idx="1">
                  <c:v>BU</c:v>
                </c:pt>
                <c:pt idx="2">
                  <c:v>Hospitalo-universitaires</c:v>
                </c:pt>
                <c:pt idx="3">
                  <c:v>AENES</c:v>
                </c:pt>
                <c:pt idx="4">
                  <c:v>2d degré</c:v>
                </c:pt>
                <c:pt idx="5">
                  <c:v>Cont. BIATSS</c:v>
                </c:pt>
                <c:pt idx="6">
                  <c:v>ITRF</c:v>
                </c:pt>
                <c:pt idx="7">
                  <c:v>Cont. enseignants</c:v>
                </c:pt>
                <c:pt idx="8">
                  <c:v>Enseignants chercheurs</c:v>
                </c:pt>
              </c:strCache>
            </c:strRef>
          </c:cat>
          <c:val>
            <c:numRef>
              <c:f>EffectifGlobal!$M$91:$M$99</c:f>
              <c:numCache>
                <c:formatCode>0%</c:formatCode>
                <c:ptCount val="9"/>
                <c:pt idx="0">
                  <c:v>1.9831730769230768E-2</c:v>
                </c:pt>
                <c:pt idx="1">
                  <c:v>2.4639423076923076E-2</c:v>
                </c:pt>
                <c:pt idx="2">
                  <c:v>5.4086538461538464E-2</c:v>
                </c:pt>
                <c:pt idx="3">
                  <c:v>5.2283653846153848E-2</c:v>
                </c:pt>
                <c:pt idx="4">
                  <c:v>9.7355769230769232E-2</c:v>
                </c:pt>
                <c:pt idx="5">
                  <c:v>0.140625</c:v>
                </c:pt>
                <c:pt idx="6">
                  <c:v>0.17548076923076922</c:v>
                </c:pt>
                <c:pt idx="7">
                  <c:v>0.19771634615384615</c:v>
                </c:pt>
                <c:pt idx="8">
                  <c:v>0.23798076923076922</c:v>
                </c:pt>
              </c:numCache>
            </c:numRef>
          </c:val>
          <c:extLst xmlns:c15="http://schemas.microsoft.com/office/drawing/2012/chart">
            <c:ext xmlns:c16="http://schemas.microsoft.com/office/drawing/2014/chart" uri="{C3380CC4-5D6E-409C-BE32-E72D297353CC}">
              <c16:uniqueId val="{00000000-7450-41FD-B75C-18ACC358240C}"/>
            </c:ext>
          </c:extLst>
        </c:ser>
        <c:dLbls>
          <c:showLegendKey val="0"/>
          <c:showVal val="1"/>
          <c:showCatName val="0"/>
          <c:showSerName val="0"/>
          <c:showPercent val="0"/>
          <c:showBubbleSize val="0"/>
        </c:dLbls>
        <c:gapWidth val="150"/>
        <c:shape val="box"/>
        <c:axId val="224293008"/>
        <c:axId val="224291048"/>
        <c:axId val="0"/>
        <c:extLst>
          <c:ext xmlns:c15="http://schemas.microsoft.com/office/drawing/2012/chart" uri="{02D57815-91ED-43cb-92C2-25804820EDAC}">
            <c15:filteredBarSeries>
              <c15:ser>
                <c:idx val="0"/>
                <c:order val="0"/>
                <c:tx>
                  <c:strRef>
                    <c:extLst>
                      <c:ext uri="{02D57815-91ED-43cb-92C2-25804820EDAC}">
                        <c15:formulaRef>
                          <c15:sqref>EffectifGlobal!$K$90</c15:sqref>
                        </c15:formulaRef>
                      </c:ext>
                    </c:extLst>
                    <c:strCache>
                      <c:ptCount val="1"/>
                      <c:pt idx="0">
                        <c:v>Femmes</c:v>
                      </c:pt>
                    </c:strCache>
                  </c:strRef>
                </c:tx>
                <c:spPr>
                  <a:solidFill>
                    <a:srgbClr val="7030A0"/>
                  </a:solidFill>
                  <a:ln>
                    <a:noFill/>
                  </a:ln>
                  <a:effectLst/>
                  <a:sp3d/>
                </c:spPr>
                <c:invertIfNegative val="0"/>
                <c:dLbls>
                  <c:delete val="1"/>
                </c:dLbls>
                <c:cat>
                  <c:strRef>
                    <c:extLst>
                      <c:ext uri="{02D57815-91ED-43cb-92C2-25804820EDAC}">
                        <c15:formulaRef>
                          <c15:sqref>EffectifGlobal!$J$91:$J$99</c15:sqref>
                        </c15:formulaRef>
                      </c:ext>
                    </c:extLst>
                    <c:strCache>
                      <c:ptCount val="9"/>
                      <c:pt idx="0">
                        <c:v>MAD</c:v>
                      </c:pt>
                      <c:pt idx="1">
                        <c:v>BU</c:v>
                      </c:pt>
                      <c:pt idx="2">
                        <c:v>Hospitalo-universitaires</c:v>
                      </c:pt>
                      <c:pt idx="3">
                        <c:v>AENES</c:v>
                      </c:pt>
                      <c:pt idx="4">
                        <c:v>2d degré</c:v>
                      </c:pt>
                      <c:pt idx="5">
                        <c:v>Cont. BIATSS</c:v>
                      </c:pt>
                      <c:pt idx="6">
                        <c:v>ITRF</c:v>
                      </c:pt>
                      <c:pt idx="7">
                        <c:v>Cont. enseignants</c:v>
                      </c:pt>
                      <c:pt idx="8">
                        <c:v>Enseignants chercheurs</c:v>
                      </c:pt>
                    </c:strCache>
                  </c:strRef>
                </c:cat>
                <c:val>
                  <c:numRef>
                    <c:extLst>
                      <c:ext uri="{02D57815-91ED-43cb-92C2-25804820EDAC}">
                        <c15:formulaRef>
                          <c15:sqref>EffectifGlobal!$K$91:$K$99</c15:sqref>
                        </c15:formulaRef>
                      </c:ext>
                    </c:extLst>
                    <c:numCache>
                      <c:formatCode>0%</c:formatCode>
                      <c:ptCount val="9"/>
                      <c:pt idx="0">
                        <c:v>9.0144230769230761E-3</c:v>
                      </c:pt>
                      <c:pt idx="1">
                        <c:v>1.5625E-2</c:v>
                      </c:pt>
                      <c:pt idx="2">
                        <c:v>1.3822115384615384E-2</c:v>
                      </c:pt>
                      <c:pt idx="3">
                        <c:v>4.5072115384615384E-2</c:v>
                      </c:pt>
                      <c:pt idx="4">
                        <c:v>3.8461538461538464E-2</c:v>
                      </c:pt>
                      <c:pt idx="5">
                        <c:v>9.7956730769230768E-2</c:v>
                      </c:pt>
                      <c:pt idx="6">
                        <c:v>0.11478365384615384</c:v>
                      </c:pt>
                      <c:pt idx="7">
                        <c:v>7.6923076923076927E-2</c:v>
                      </c:pt>
                      <c:pt idx="8">
                        <c:v>9.375E-2</c:v>
                      </c:pt>
                    </c:numCache>
                  </c:numRef>
                </c:val>
                <c:extLst>
                  <c:ext xmlns:c16="http://schemas.microsoft.com/office/drawing/2014/chart" uri="{C3380CC4-5D6E-409C-BE32-E72D297353CC}">
                    <c16:uniqueId val="{00000001-7450-41FD-B75C-18ACC358240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EffectifGlobal!$L$90</c15:sqref>
                        </c15:formulaRef>
                      </c:ext>
                    </c:extLst>
                    <c:strCache>
                      <c:ptCount val="1"/>
                      <c:pt idx="0">
                        <c:v>Hommes</c:v>
                      </c:pt>
                    </c:strCache>
                  </c:strRef>
                </c:tx>
                <c:spPr>
                  <a:solidFill>
                    <a:srgbClr val="00B0F0"/>
                  </a:solidFill>
                  <a:ln>
                    <a:noFill/>
                  </a:ln>
                  <a:effectLst/>
                  <a:sp3d/>
                </c:spPr>
                <c:invertIfNegative val="0"/>
                <c:dLbls>
                  <c:delete val="1"/>
                </c:dLbls>
                <c:cat>
                  <c:strRef>
                    <c:extLst xmlns:c15="http://schemas.microsoft.com/office/drawing/2012/chart">
                      <c:ext xmlns:c15="http://schemas.microsoft.com/office/drawing/2012/chart" uri="{02D57815-91ED-43cb-92C2-25804820EDAC}">
                        <c15:formulaRef>
                          <c15:sqref>EffectifGlobal!$J$91:$J$99</c15:sqref>
                        </c15:formulaRef>
                      </c:ext>
                    </c:extLst>
                    <c:strCache>
                      <c:ptCount val="9"/>
                      <c:pt idx="0">
                        <c:v>MAD</c:v>
                      </c:pt>
                      <c:pt idx="1">
                        <c:v>BU</c:v>
                      </c:pt>
                      <c:pt idx="2">
                        <c:v>Hospitalo-universitaires</c:v>
                      </c:pt>
                      <c:pt idx="3">
                        <c:v>AENES</c:v>
                      </c:pt>
                      <c:pt idx="4">
                        <c:v>2d degré</c:v>
                      </c:pt>
                      <c:pt idx="5">
                        <c:v>Cont. BIATSS</c:v>
                      </c:pt>
                      <c:pt idx="6">
                        <c:v>ITRF</c:v>
                      </c:pt>
                      <c:pt idx="7">
                        <c:v>Cont. enseignants</c:v>
                      </c:pt>
                      <c:pt idx="8">
                        <c:v>Enseignants chercheurs</c:v>
                      </c:pt>
                    </c:strCache>
                  </c:strRef>
                </c:cat>
                <c:val>
                  <c:numRef>
                    <c:extLst xmlns:c15="http://schemas.microsoft.com/office/drawing/2012/chart">
                      <c:ext xmlns:c15="http://schemas.microsoft.com/office/drawing/2012/chart" uri="{02D57815-91ED-43cb-92C2-25804820EDAC}">
                        <c15:formulaRef>
                          <c15:sqref>EffectifGlobal!$L$91:$L$99</c15:sqref>
                        </c15:formulaRef>
                      </c:ext>
                    </c:extLst>
                    <c:numCache>
                      <c:formatCode>0%</c:formatCode>
                      <c:ptCount val="9"/>
                      <c:pt idx="0">
                        <c:v>1.0817307692307692E-2</c:v>
                      </c:pt>
                      <c:pt idx="1">
                        <c:v>9.0144230769230761E-3</c:v>
                      </c:pt>
                      <c:pt idx="2">
                        <c:v>4.026442307692308E-2</c:v>
                      </c:pt>
                      <c:pt idx="3">
                        <c:v>7.2115384615384619E-3</c:v>
                      </c:pt>
                      <c:pt idx="4">
                        <c:v>5.8894230769230768E-2</c:v>
                      </c:pt>
                      <c:pt idx="5">
                        <c:v>4.2668269230769232E-2</c:v>
                      </c:pt>
                      <c:pt idx="6">
                        <c:v>6.0697115384615384E-2</c:v>
                      </c:pt>
                      <c:pt idx="7">
                        <c:v>0.12079326923076923</c:v>
                      </c:pt>
                      <c:pt idx="8">
                        <c:v>0.14423076923076922</c:v>
                      </c:pt>
                    </c:numCache>
                  </c:numRef>
                </c:val>
                <c:extLst xmlns:c15="http://schemas.microsoft.com/office/drawing/2012/chart">
                  <c:ext xmlns:c16="http://schemas.microsoft.com/office/drawing/2014/chart" uri="{C3380CC4-5D6E-409C-BE32-E72D297353CC}">
                    <c16:uniqueId val="{00000002-7450-41FD-B75C-18ACC358240C}"/>
                  </c:ext>
                </c:extLst>
              </c15:ser>
            </c15:filteredBarSeries>
          </c:ext>
        </c:extLst>
      </c:bar3DChart>
      <c:catAx>
        <c:axId val="2242930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1048"/>
        <c:crosses val="autoZero"/>
        <c:auto val="1"/>
        <c:lblAlgn val="ctr"/>
        <c:lblOffset val="100"/>
        <c:noMultiLvlLbl val="0"/>
      </c:catAx>
      <c:valAx>
        <c:axId val="2242910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3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PyramideAgesBIATSSTit!$K$4</c:f>
              <c:strCache>
                <c:ptCount val="1"/>
                <c:pt idx="0">
                  <c:v>F</c:v>
                </c:pt>
              </c:strCache>
            </c:strRef>
          </c:tx>
          <c:spPr>
            <a:solidFill>
              <a:schemeClr val="accent1">
                <a:lumMod val="40000"/>
                <a:lumOff val="60000"/>
              </a:schemeClr>
            </a:solidFill>
          </c:spPr>
          <c:invertIfNegative val="0"/>
          <c:dLbls>
            <c:delete val="1"/>
          </c:dLbls>
          <c:cat>
            <c:strRef>
              <c:f>PyramideAgesBIATSSTit!$J$5:$J$14</c:f>
              <c:strCache>
                <c:ptCount val="10"/>
                <c:pt idx="0">
                  <c:v>20-24</c:v>
                </c:pt>
                <c:pt idx="1">
                  <c:v>25-29</c:v>
                </c:pt>
                <c:pt idx="2">
                  <c:v>30-34</c:v>
                </c:pt>
                <c:pt idx="3">
                  <c:v>35-39</c:v>
                </c:pt>
                <c:pt idx="4">
                  <c:v>40-44</c:v>
                </c:pt>
                <c:pt idx="5">
                  <c:v>45-49</c:v>
                </c:pt>
                <c:pt idx="6">
                  <c:v>50-54</c:v>
                </c:pt>
                <c:pt idx="7">
                  <c:v>55-59</c:v>
                </c:pt>
                <c:pt idx="8">
                  <c:v>60-64</c:v>
                </c:pt>
                <c:pt idx="9">
                  <c:v>&gt; 65 ans</c:v>
                </c:pt>
              </c:strCache>
            </c:strRef>
          </c:cat>
          <c:val>
            <c:numRef>
              <c:f>PyramideAgesBIATSSTit!$K$5:$K$14</c:f>
              <c:numCache>
                <c:formatCode>General</c:formatCode>
                <c:ptCount val="10"/>
                <c:pt idx="0">
                  <c:v>-2</c:v>
                </c:pt>
                <c:pt idx="1">
                  <c:v>-2</c:v>
                </c:pt>
                <c:pt idx="2">
                  <c:v>-16</c:v>
                </c:pt>
                <c:pt idx="3">
                  <c:v>-23</c:v>
                </c:pt>
                <c:pt idx="4">
                  <c:v>-44</c:v>
                </c:pt>
                <c:pt idx="5">
                  <c:v>-50</c:v>
                </c:pt>
                <c:pt idx="6">
                  <c:v>-64</c:v>
                </c:pt>
                <c:pt idx="7">
                  <c:v>-54</c:v>
                </c:pt>
                <c:pt idx="8">
                  <c:v>-27</c:v>
                </c:pt>
                <c:pt idx="9">
                  <c:v>-3</c:v>
                </c:pt>
              </c:numCache>
            </c:numRef>
          </c:val>
          <c:extLst>
            <c:ext xmlns:c16="http://schemas.microsoft.com/office/drawing/2014/chart" uri="{C3380CC4-5D6E-409C-BE32-E72D297353CC}">
              <c16:uniqueId val="{00000000-DCD9-4868-B0A9-752C673F8BA0}"/>
            </c:ext>
          </c:extLst>
        </c:ser>
        <c:ser>
          <c:idx val="1"/>
          <c:order val="1"/>
          <c:tx>
            <c:strRef>
              <c:f>PyramideAgesBIATSSTit!$L$4</c:f>
              <c:strCache>
                <c:ptCount val="1"/>
                <c:pt idx="0">
                  <c:v>H</c:v>
                </c:pt>
              </c:strCache>
            </c:strRef>
          </c:tx>
          <c:spPr>
            <a:solidFill>
              <a:schemeClr val="accent1">
                <a:lumMod val="75000"/>
              </a:schemeClr>
            </a:solidFill>
          </c:spPr>
          <c:invertIfNegative val="0"/>
          <c:dLbls>
            <c:delete val="1"/>
          </c:dLbls>
          <c:cat>
            <c:strRef>
              <c:f>PyramideAgesBIATSSTit!$J$5:$J$14</c:f>
              <c:strCache>
                <c:ptCount val="10"/>
                <c:pt idx="0">
                  <c:v>20-24</c:v>
                </c:pt>
                <c:pt idx="1">
                  <c:v>25-29</c:v>
                </c:pt>
                <c:pt idx="2">
                  <c:v>30-34</c:v>
                </c:pt>
                <c:pt idx="3">
                  <c:v>35-39</c:v>
                </c:pt>
                <c:pt idx="4">
                  <c:v>40-44</c:v>
                </c:pt>
                <c:pt idx="5">
                  <c:v>45-49</c:v>
                </c:pt>
                <c:pt idx="6">
                  <c:v>50-54</c:v>
                </c:pt>
                <c:pt idx="7">
                  <c:v>55-59</c:v>
                </c:pt>
                <c:pt idx="8">
                  <c:v>60-64</c:v>
                </c:pt>
                <c:pt idx="9">
                  <c:v>&gt; 65 ans</c:v>
                </c:pt>
              </c:strCache>
            </c:strRef>
          </c:cat>
          <c:val>
            <c:numRef>
              <c:f>PyramideAgesBIATSSTit!$L$5:$L$14</c:f>
              <c:numCache>
                <c:formatCode>General</c:formatCode>
                <c:ptCount val="10"/>
                <c:pt idx="2">
                  <c:v>3</c:v>
                </c:pt>
                <c:pt idx="3">
                  <c:v>14</c:v>
                </c:pt>
                <c:pt idx="4">
                  <c:v>14</c:v>
                </c:pt>
                <c:pt idx="5">
                  <c:v>25</c:v>
                </c:pt>
                <c:pt idx="6">
                  <c:v>34</c:v>
                </c:pt>
                <c:pt idx="7">
                  <c:v>24</c:v>
                </c:pt>
                <c:pt idx="8">
                  <c:v>11</c:v>
                </c:pt>
                <c:pt idx="9">
                  <c:v>1</c:v>
                </c:pt>
              </c:numCache>
            </c:numRef>
          </c:val>
          <c:extLst>
            <c:ext xmlns:c16="http://schemas.microsoft.com/office/drawing/2014/chart" uri="{C3380CC4-5D6E-409C-BE32-E72D297353CC}">
              <c16:uniqueId val="{00000001-DCD9-4868-B0A9-752C673F8BA0}"/>
            </c:ext>
          </c:extLst>
        </c:ser>
        <c:dLbls>
          <c:showLegendKey val="0"/>
          <c:showVal val="1"/>
          <c:showCatName val="0"/>
          <c:showSerName val="0"/>
          <c:showPercent val="0"/>
          <c:showBubbleSize val="0"/>
        </c:dLbls>
        <c:gapWidth val="30"/>
        <c:gapDepth val="30"/>
        <c:shape val="box"/>
        <c:axId val="224161952"/>
        <c:axId val="220351384"/>
        <c:axId val="0"/>
      </c:bar3DChart>
      <c:catAx>
        <c:axId val="22416195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51384"/>
        <c:crosses val="autoZero"/>
        <c:auto val="1"/>
        <c:lblAlgn val="ctr"/>
        <c:lblOffset val="100"/>
        <c:noMultiLvlLbl val="0"/>
      </c:catAx>
      <c:valAx>
        <c:axId val="220351384"/>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952"/>
        <c:crosses val="autoZero"/>
        <c:crossBetween val="between"/>
      </c:valAx>
      <c:spPr>
        <a:noFill/>
        <a:ln w="25400">
          <a:noFill/>
        </a:ln>
      </c:spPr>
    </c:plotArea>
    <c:legend>
      <c:legendPos val="r"/>
      <c:layout>
        <c:manualLayout>
          <c:xMode val="edge"/>
          <c:yMode val="edge"/>
          <c:x val="0.93828631091473935"/>
          <c:y val="0.30405524931933692"/>
          <c:w val="2.9384691751970338E-2"/>
          <c:h val="0.36818721705539431"/>
        </c:manualLayout>
      </c:layout>
      <c:overlay val="0"/>
      <c:txPr>
        <a:bodyPr/>
        <a:lstStyle/>
        <a:p>
          <a:pPr>
            <a:defRPr sz="62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PyramideAgesBIATSSTit!$B$27</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PyramideAgesBIATSSTit!$A$28:$A$36</c15:sqref>
                  </c15:fullRef>
                </c:ext>
              </c:extLst>
              <c:f>PyramideAgesBIATSSTit!$A$29:$A$36</c:f>
              <c:strCache>
                <c:ptCount val="8"/>
                <c:pt idx="0">
                  <c:v>30-34 ans</c:v>
                </c:pt>
                <c:pt idx="1">
                  <c:v>35-39 ans</c:v>
                </c:pt>
                <c:pt idx="2">
                  <c:v>40-44 ans</c:v>
                </c:pt>
                <c:pt idx="3">
                  <c:v>45-49 ans</c:v>
                </c:pt>
                <c:pt idx="4">
                  <c:v>50-54 ans</c:v>
                </c:pt>
                <c:pt idx="5">
                  <c:v>55-59 ans</c:v>
                </c:pt>
                <c:pt idx="6">
                  <c:v>60-64 ans</c:v>
                </c:pt>
                <c:pt idx="7">
                  <c:v>&gt; 65 ans</c:v>
                </c:pt>
              </c:strCache>
            </c:strRef>
          </c:cat>
          <c:val>
            <c:numRef>
              <c:extLst>
                <c:ext xmlns:c15="http://schemas.microsoft.com/office/drawing/2012/chart" uri="{02D57815-91ED-43cb-92C2-25804820EDAC}">
                  <c15:fullRef>
                    <c15:sqref>PyramideAgesBIATSSTit!$B$28:$B$36</c15:sqref>
                  </c15:fullRef>
                </c:ext>
              </c:extLst>
              <c:f>PyramideAgesBIATSSTit!$B$29:$B$36</c:f>
              <c:numCache>
                <c:formatCode>General</c:formatCode>
                <c:ptCount val="8"/>
                <c:pt idx="0">
                  <c:v>-4</c:v>
                </c:pt>
                <c:pt idx="1">
                  <c:v>-4</c:v>
                </c:pt>
                <c:pt idx="2">
                  <c:v>-14</c:v>
                </c:pt>
                <c:pt idx="3">
                  <c:v>-17</c:v>
                </c:pt>
                <c:pt idx="4">
                  <c:v>-19</c:v>
                </c:pt>
                <c:pt idx="5">
                  <c:v>-13</c:v>
                </c:pt>
                <c:pt idx="6">
                  <c:v>-7</c:v>
                </c:pt>
                <c:pt idx="7">
                  <c:v>-1</c:v>
                </c:pt>
              </c:numCache>
            </c:numRef>
          </c:val>
          <c:extLst>
            <c:ext xmlns:c16="http://schemas.microsoft.com/office/drawing/2014/chart" uri="{C3380CC4-5D6E-409C-BE32-E72D297353CC}">
              <c16:uniqueId val="{00000000-38CC-4E69-965C-F9664323EEEC}"/>
            </c:ext>
          </c:extLst>
        </c:ser>
        <c:ser>
          <c:idx val="1"/>
          <c:order val="1"/>
          <c:tx>
            <c:strRef>
              <c:f>PyramideAgesBIATSSTit!$C$27</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PyramideAgesBIATSSTit!$A$28:$A$36</c15:sqref>
                  </c15:fullRef>
                </c:ext>
              </c:extLst>
              <c:f>PyramideAgesBIATSSTit!$A$29:$A$36</c:f>
              <c:strCache>
                <c:ptCount val="8"/>
                <c:pt idx="0">
                  <c:v>30-34 ans</c:v>
                </c:pt>
                <c:pt idx="1">
                  <c:v>35-39 ans</c:v>
                </c:pt>
                <c:pt idx="2">
                  <c:v>40-44 ans</c:v>
                </c:pt>
                <c:pt idx="3">
                  <c:v>45-49 ans</c:v>
                </c:pt>
                <c:pt idx="4">
                  <c:v>50-54 ans</c:v>
                </c:pt>
                <c:pt idx="5">
                  <c:v>55-59 ans</c:v>
                </c:pt>
                <c:pt idx="6">
                  <c:v>60-64 ans</c:v>
                </c:pt>
                <c:pt idx="7">
                  <c:v>&gt; 65 ans</c:v>
                </c:pt>
              </c:strCache>
            </c:strRef>
          </c:cat>
          <c:val>
            <c:numRef>
              <c:extLst>
                <c:ext xmlns:c15="http://schemas.microsoft.com/office/drawing/2012/chart" uri="{02D57815-91ED-43cb-92C2-25804820EDAC}">
                  <c15:fullRef>
                    <c15:sqref>PyramideAgesBIATSSTit!$C$28:$C$36</c15:sqref>
                  </c15:fullRef>
                </c:ext>
              </c:extLst>
              <c:f>PyramideAgesBIATSSTit!$C$29:$C$36</c:f>
              <c:numCache>
                <c:formatCode>General</c:formatCode>
                <c:ptCount val="8"/>
                <c:pt idx="0">
                  <c:v>1</c:v>
                </c:pt>
                <c:pt idx="1">
                  <c:v>7</c:v>
                </c:pt>
                <c:pt idx="2">
                  <c:v>10</c:v>
                </c:pt>
                <c:pt idx="3">
                  <c:v>12</c:v>
                </c:pt>
                <c:pt idx="4">
                  <c:v>13</c:v>
                </c:pt>
                <c:pt idx="5">
                  <c:v>12</c:v>
                </c:pt>
                <c:pt idx="6">
                  <c:v>3</c:v>
                </c:pt>
              </c:numCache>
            </c:numRef>
          </c:val>
          <c:extLst>
            <c:ext xmlns:c16="http://schemas.microsoft.com/office/drawing/2014/chart" uri="{C3380CC4-5D6E-409C-BE32-E72D297353CC}">
              <c16:uniqueId val="{00000001-38CC-4E69-965C-F9664323EEEC}"/>
            </c:ext>
          </c:extLst>
        </c:ser>
        <c:dLbls>
          <c:showLegendKey val="0"/>
          <c:showVal val="0"/>
          <c:showCatName val="0"/>
          <c:showSerName val="0"/>
          <c:showPercent val="0"/>
          <c:showBubbleSize val="0"/>
        </c:dLbls>
        <c:gapWidth val="30"/>
        <c:gapDepth val="30"/>
        <c:shape val="box"/>
        <c:axId val="224161952"/>
        <c:axId val="220351384"/>
        <c:axId val="0"/>
      </c:bar3DChart>
      <c:catAx>
        <c:axId val="22416195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51384"/>
        <c:crosses val="autoZero"/>
        <c:auto val="1"/>
        <c:lblAlgn val="ctr"/>
        <c:lblOffset val="100"/>
        <c:noMultiLvlLbl val="0"/>
      </c:catAx>
      <c:valAx>
        <c:axId val="220351384"/>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952"/>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PyramideAgesBIATSSTit!$J$27</c:f>
              <c:strCache>
                <c:ptCount val="1"/>
                <c:pt idx="0">
                  <c:v>F</c:v>
                </c:pt>
              </c:strCache>
            </c:strRef>
          </c:tx>
          <c:spPr>
            <a:solidFill>
              <a:schemeClr val="accent1">
                <a:lumMod val="40000"/>
                <a:lumOff val="60000"/>
              </a:schemeClr>
            </a:solidFill>
          </c:spPr>
          <c:invertIfNegative val="0"/>
          <c:cat>
            <c:strRef>
              <c:f>PyramideAgesBIATSSTit!$I$28:$I$35</c:f>
              <c:strCache>
                <c:ptCount val="8"/>
                <c:pt idx="0">
                  <c:v>30-34 ans</c:v>
                </c:pt>
                <c:pt idx="1">
                  <c:v>35-39 ans</c:v>
                </c:pt>
                <c:pt idx="2">
                  <c:v>40-44 ans</c:v>
                </c:pt>
                <c:pt idx="3">
                  <c:v>45-49 ans</c:v>
                </c:pt>
                <c:pt idx="4">
                  <c:v>50-54 ans</c:v>
                </c:pt>
                <c:pt idx="5">
                  <c:v>55-59 ans</c:v>
                </c:pt>
                <c:pt idx="6">
                  <c:v>60-64 ans</c:v>
                </c:pt>
                <c:pt idx="7">
                  <c:v>&gt; 65 ans</c:v>
                </c:pt>
              </c:strCache>
            </c:strRef>
          </c:cat>
          <c:val>
            <c:numRef>
              <c:f>PyramideAgesBIATSSTit!$J$28:$J$35</c:f>
              <c:numCache>
                <c:formatCode>General</c:formatCode>
                <c:ptCount val="8"/>
                <c:pt idx="0">
                  <c:v>-4</c:v>
                </c:pt>
                <c:pt idx="1">
                  <c:v>-12</c:v>
                </c:pt>
                <c:pt idx="2">
                  <c:v>-16</c:v>
                </c:pt>
                <c:pt idx="3">
                  <c:v>-17</c:v>
                </c:pt>
                <c:pt idx="4">
                  <c:v>-25</c:v>
                </c:pt>
                <c:pt idx="5">
                  <c:v>-21</c:v>
                </c:pt>
                <c:pt idx="6">
                  <c:v>-9</c:v>
                </c:pt>
                <c:pt idx="7">
                  <c:v>-1</c:v>
                </c:pt>
              </c:numCache>
            </c:numRef>
          </c:val>
          <c:extLst>
            <c:ext xmlns:c16="http://schemas.microsoft.com/office/drawing/2014/chart" uri="{C3380CC4-5D6E-409C-BE32-E72D297353CC}">
              <c16:uniqueId val="{00000000-1306-4969-8A01-72E128E35D13}"/>
            </c:ext>
          </c:extLst>
        </c:ser>
        <c:ser>
          <c:idx val="1"/>
          <c:order val="1"/>
          <c:tx>
            <c:strRef>
              <c:f>PyramideAgesBIATSSTit!$K$27</c:f>
              <c:strCache>
                <c:ptCount val="1"/>
                <c:pt idx="0">
                  <c:v>M</c:v>
                </c:pt>
              </c:strCache>
            </c:strRef>
          </c:tx>
          <c:spPr>
            <a:solidFill>
              <a:schemeClr val="accent1">
                <a:lumMod val="75000"/>
              </a:schemeClr>
            </a:solidFill>
          </c:spPr>
          <c:invertIfNegative val="0"/>
          <c:cat>
            <c:strRef>
              <c:f>PyramideAgesBIATSSTit!$I$28:$I$35</c:f>
              <c:strCache>
                <c:ptCount val="8"/>
                <c:pt idx="0">
                  <c:v>30-34 ans</c:v>
                </c:pt>
                <c:pt idx="1">
                  <c:v>35-39 ans</c:v>
                </c:pt>
                <c:pt idx="2">
                  <c:v>40-44 ans</c:v>
                </c:pt>
                <c:pt idx="3">
                  <c:v>45-49 ans</c:v>
                </c:pt>
                <c:pt idx="4">
                  <c:v>50-54 ans</c:v>
                </c:pt>
                <c:pt idx="5">
                  <c:v>55-59 ans</c:v>
                </c:pt>
                <c:pt idx="6">
                  <c:v>60-64 ans</c:v>
                </c:pt>
                <c:pt idx="7">
                  <c:v>&gt; 65 ans</c:v>
                </c:pt>
              </c:strCache>
            </c:strRef>
          </c:cat>
          <c:val>
            <c:numRef>
              <c:f>PyramideAgesBIATSSTit!$K$28:$K$35</c:f>
              <c:numCache>
                <c:formatCode>General</c:formatCode>
                <c:ptCount val="8"/>
                <c:pt idx="1">
                  <c:v>5</c:v>
                </c:pt>
                <c:pt idx="2">
                  <c:v>2</c:v>
                </c:pt>
                <c:pt idx="3">
                  <c:v>5</c:v>
                </c:pt>
                <c:pt idx="4">
                  <c:v>11</c:v>
                </c:pt>
                <c:pt idx="5">
                  <c:v>6</c:v>
                </c:pt>
                <c:pt idx="6">
                  <c:v>5</c:v>
                </c:pt>
                <c:pt idx="7">
                  <c:v>1</c:v>
                </c:pt>
              </c:numCache>
            </c:numRef>
          </c:val>
          <c:extLst>
            <c:ext xmlns:c16="http://schemas.microsoft.com/office/drawing/2014/chart" uri="{C3380CC4-5D6E-409C-BE32-E72D297353CC}">
              <c16:uniqueId val="{00000001-1306-4969-8A01-72E128E35D13}"/>
            </c:ext>
          </c:extLst>
        </c:ser>
        <c:dLbls>
          <c:showLegendKey val="0"/>
          <c:showVal val="0"/>
          <c:showCatName val="0"/>
          <c:showSerName val="0"/>
          <c:showPercent val="0"/>
          <c:showBubbleSize val="0"/>
        </c:dLbls>
        <c:gapWidth val="30"/>
        <c:gapDepth val="30"/>
        <c:shape val="box"/>
        <c:axId val="224161952"/>
        <c:axId val="220351384"/>
        <c:axId val="0"/>
      </c:bar3DChart>
      <c:catAx>
        <c:axId val="22416195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51384"/>
        <c:crosses val="autoZero"/>
        <c:auto val="1"/>
        <c:lblAlgn val="ctr"/>
        <c:lblOffset val="100"/>
        <c:noMultiLvlLbl val="0"/>
      </c:catAx>
      <c:valAx>
        <c:axId val="220351384"/>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952"/>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PyramideAgesBIATSSTit!$Q$27</c:f>
              <c:strCache>
                <c:ptCount val="1"/>
                <c:pt idx="0">
                  <c:v>F</c:v>
                </c:pt>
              </c:strCache>
            </c:strRef>
          </c:tx>
          <c:spPr>
            <a:solidFill>
              <a:schemeClr val="accent1">
                <a:lumMod val="40000"/>
                <a:lumOff val="60000"/>
              </a:schemeClr>
            </a:solidFill>
          </c:spPr>
          <c:invertIfNegative val="0"/>
          <c:cat>
            <c:strRef>
              <c:f>PyramideAgesBIATSSTit!$P$28:$P$37</c:f>
              <c:strCache>
                <c:ptCount val="10"/>
                <c:pt idx="0">
                  <c:v>20-24 ans</c:v>
                </c:pt>
                <c:pt idx="1">
                  <c:v>25-29 ans</c:v>
                </c:pt>
                <c:pt idx="2">
                  <c:v>30-34 ans</c:v>
                </c:pt>
                <c:pt idx="3">
                  <c:v>35-39 ans</c:v>
                </c:pt>
                <c:pt idx="4">
                  <c:v>40-44 ans</c:v>
                </c:pt>
                <c:pt idx="5">
                  <c:v>45-49 ans</c:v>
                </c:pt>
                <c:pt idx="6">
                  <c:v>50-54 ans</c:v>
                </c:pt>
                <c:pt idx="7">
                  <c:v>55-59 ans</c:v>
                </c:pt>
                <c:pt idx="8">
                  <c:v>60-64 ans</c:v>
                </c:pt>
                <c:pt idx="9">
                  <c:v>&gt; 65 ans</c:v>
                </c:pt>
              </c:strCache>
            </c:strRef>
          </c:cat>
          <c:val>
            <c:numRef>
              <c:f>PyramideAgesBIATSSTit!$Q$28:$Q$37</c:f>
              <c:numCache>
                <c:formatCode>General</c:formatCode>
                <c:ptCount val="10"/>
                <c:pt idx="0">
                  <c:v>-2</c:v>
                </c:pt>
                <c:pt idx="1">
                  <c:v>-2</c:v>
                </c:pt>
                <c:pt idx="2">
                  <c:v>-8</c:v>
                </c:pt>
                <c:pt idx="3">
                  <c:v>-7</c:v>
                </c:pt>
                <c:pt idx="4">
                  <c:v>-14</c:v>
                </c:pt>
                <c:pt idx="5">
                  <c:v>-16</c:v>
                </c:pt>
                <c:pt idx="6">
                  <c:v>-20</c:v>
                </c:pt>
                <c:pt idx="7">
                  <c:v>-20</c:v>
                </c:pt>
                <c:pt idx="8">
                  <c:v>-11</c:v>
                </c:pt>
                <c:pt idx="9">
                  <c:v>-1</c:v>
                </c:pt>
              </c:numCache>
            </c:numRef>
          </c:val>
          <c:extLst>
            <c:ext xmlns:c16="http://schemas.microsoft.com/office/drawing/2014/chart" uri="{C3380CC4-5D6E-409C-BE32-E72D297353CC}">
              <c16:uniqueId val="{00000000-06A0-4A72-9542-1BBEE6F81A39}"/>
            </c:ext>
          </c:extLst>
        </c:ser>
        <c:ser>
          <c:idx val="1"/>
          <c:order val="1"/>
          <c:tx>
            <c:strRef>
              <c:f>PyramideAgesBIATSSTit!$R$27</c:f>
              <c:strCache>
                <c:ptCount val="1"/>
                <c:pt idx="0">
                  <c:v>M</c:v>
                </c:pt>
              </c:strCache>
            </c:strRef>
          </c:tx>
          <c:spPr>
            <a:solidFill>
              <a:schemeClr val="accent1">
                <a:lumMod val="75000"/>
              </a:schemeClr>
            </a:solidFill>
          </c:spPr>
          <c:invertIfNegative val="0"/>
          <c:cat>
            <c:strRef>
              <c:f>PyramideAgesBIATSSTit!$P$28:$P$37</c:f>
              <c:strCache>
                <c:ptCount val="10"/>
                <c:pt idx="0">
                  <c:v>20-24 ans</c:v>
                </c:pt>
                <c:pt idx="1">
                  <c:v>25-29 ans</c:v>
                </c:pt>
                <c:pt idx="2">
                  <c:v>30-34 ans</c:v>
                </c:pt>
                <c:pt idx="3">
                  <c:v>35-39 ans</c:v>
                </c:pt>
                <c:pt idx="4">
                  <c:v>40-44 ans</c:v>
                </c:pt>
                <c:pt idx="5">
                  <c:v>45-49 ans</c:v>
                </c:pt>
                <c:pt idx="6">
                  <c:v>50-54 ans</c:v>
                </c:pt>
                <c:pt idx="7">
                  <c:v>55-59 ans</c:v>
                </c:pt>
                <c:pt idx="8">
                  <c:v>60-64 ans</c:v>
                </c:pt>
                <c:pt idx="9">
                  <c:v>&gt; 65 ans</c:v>
                </c:pt>
              </c:strCache>
            </c:strRef>
          </c:cat>
          <c:val>
            <c:numRef>
              <c:f>PyramideAgesBIATSSTit!$R$28:$R$37</c:f>
              <c:numCache>
                <c:formatCode>General</c:formatCode>
                <c:ptCount val="10"/>
                <c:pt idx="2">
                  <c:v>2</c:v>
                </c:pt>
                <c:pt idx="3">
                  <c:v>2</c:v>
                </c:pt>
                <c:pt idx="4">
                  <c:v>2</c:v>
                </c:pt>
                <c:pt idx="5">
                  <c:v>8</c:v>
                </c:pt>
                <c:pt idx="6">
                  <c:v>10</c:v>
                </c:pt>
                <c:pt idx="7">
                  <c:v>6</c:v>
                </c:pt>
                <c:pt idx="8">
                  <c:v>3</c:v>
                </c:pt>
              </c:numCache>
            </c:numRef>
          </c:val>
          <c:extLst>
            <c:ext xmlns:c16="http://schemas.microsoft.com/office/drawing/2014/chart" uri="{C3380CC4-5D6E-409C-BE32-E72D297353CC}">
              <c16:uniqueId val="{00000001-06A0-4A72-9542-1BBEE6F81A39}"/>
            </c:ext>
          </c:extLst>
        </c:ser>
        <c:dLbls>
          <c:showLegendKey val="0"/>
          <c:showVal val="0"/>
          <c:showCatName val="0"/>
          <c:showSerName val="0"/>
          <c:showPercent val="0"/>
          <c:showBubbleSize val="0"/>
        </c:dLbls>
        <c:gapWidth val="30"/>
        <c:gapDepth val="30"/>
        <c:shape val="box"/>
        <c:axId val="224161952"/>
        <c:axId val="220351384"/>
        <c:axId val="0"/>
      </c:bar3DChart>
      <c:catAx>
        <c:axId val="22416195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51384"/>
        <c:crosses val="autoZero"/>
        <c:auto val="1"/>
        <c:lblAlgn val="ctr"/>
        <c:lblOffset val="100"/>
        <c:noMultiLvlLbl val="0"/>
      </c:catAx>
      <c:valAx>
        <c:axId val="220351384"/>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952"/>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PyramideAgesBIATSSCont!$D$5</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PyramideAgesBIATSSCont!$C$6:$C$14</c15:sqref>
                  </c15:fullRef>
                </c:ext>
              </c:extLst>
              <c:f>PyramideAgesBIATSSCont!$C$6:$C$13</c:f>
              <c:strCache>
                <c:ptCount val="8"/>
                <c:pt idx="0">
                  <c:v>25-29 ans</c:v>
                </c:pt>
                <c:pt idx="1">
                  <c:v>30-34 ans</c:v>
                </c:pt>
                <c:pt idx="2">
                  <c:v>35-39 ans</c:v>
                </c:pt>
                <c:pt idx="3">
                  <c:v>40-44 ans</c:v>
                </c:pt>
                <c:pt idx="4">
                  <c:v>45-49 ans</c:v>
                </c:pt>
                <c:pt idx="5">
                  <c:v>50-54 ans</c:v>
                </c:pt>
                <c:pt idx="6">
                  <c:v>55-59 ans</c:v>
                </c:pt>
                <c:pt idx="7">
                  <c:v>60-64 ans</c:v>
                </c:pt>
              </c:strCache>
            </c:strRef>
          </c:cat>
          <c:val>
            <c:numRef>
              <c:extLst>
                <c:ext xmlns:c15="http://schemas.microsoft.com/office/drawing/2012/chart" uri="{02D57815-91ED-43cb-92C2-25804820EDAC}">
                  <c15:fullRef>
                    <c15:sqref>PyramideAgesBIATSSCont!$D$6:$D$14</c15:sqref>
                  </c15:fullRef>
                </c:ext>
              </c:extLst>
              <c:f>PyramideAgesBIATSSCont!$D$6:$D$13</c:f>
              <c:numCache>
                <c:formatCode>General</c:formatCode>
                <c:ptCount val="8"/>
                <c:pt idx="0">
                  <c:v>-8</c:v>
                </c:pt>
                <c:pt idx="1">
                  <c:v>-10</c:v>
                </c:pt>
                <c:pt idx="2">
                  <c:v>-10</c:v>
                </c:pt>
                <c:pt idx="3">
                  <c:v>-10</c:v>
                </c:pt>
                <c:pt idx="4">
                  <c:v>-12</c:v>
                </c:pt>
                <c:pt idx="5">
                  <c:v>-4</c:v>
                </c:pt>
                <c:pt idx="6">
                  <c:v>-5</c:v>
                </c:pt>
                <c:pt idx="7">
                  <c:v>-4</c:v>
                </c:pt>
              </c:numCache>
            </c:numRef>
          </c:val>
          <c:extLst>
            <c:ext xmlns:c16="http://schemas.microsoft.com/office/drawing/2014/chart" uri="{C3380CC4-5D6E-409C-BE32-E72D297353CC}">
              <c16:uniqueId val="{00000000-E632-437D-B22D-8BFA22340179}"/>
            </c:ext>
          </c:extLst>
        </c:ser>
        <c:ser>
          <c:idx val="1"/>
          <c:order val="1"/>
          <c:tx>
            <c:strRef>
              <c:f>PyramideAgesBIATSSCont!$E$5</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PyramideAgesBIATSSCont!$C$6:$C$14</c15:sqref>
                  </c15:fullRef>
                </c:ext>
              </c:extLst>
              <c:f>PyramideAgesBIATSSCont!$C$6:$C$13</c:f>
              <c:strCache>
                <c:ptCount val="8"/>
                <c:pt idx="0">
                  <c:v>25-29 ans</c:v>
                </c:pt>
                <c:pt idx="1">
                  <c:v>30-34 ans</c:v>
                </c:pt>
                <c:pt idx="2">
                  <c:v>35-39 ans</c:v>
                </c:pt>
                <c:pt idx="3">
                  <c:v>40-44 ans</c:v>
                </c:pt>
                <c:pt idx="4">
                  <c:v>45-49 ans</c:v>
                </c:pt>
                <c:pt idx="5">
                  <c:v>50-54 ans</c:v>
                </c:pt>
                <c:pt idx="6">
                  <c:v>55-59 ans</c:v>
                </c:pt>
                <c:pt idx="7">
                  <c:v>60-64 ans</c:v>
                </c:pt>
              </c:strCache>
            </c:strRef>
          </c:cat>
          <c:val>
            <c:numRef>
              <c:extLst>
                <c:ext xmlns:c15="http://schemas.microsoft.com/office/drawing/2012/chart" uri="{02D57815-91ED-43cb-92C2-25804820EDAC}">
                  <c15:fullRef>
                    <c15:sqref>PyramideAgesBIATSSCont!$E$6:$E$14</c15:sqref>
                  </c15:fullRef>
                </c:ext>
              </c:extLst>
              <c:f>PyramideAgesBIATSSCont!$E$6:$E$13</c:f>
              <c:numCache>
                <c:formatCode>General</c:formatCode>
                <c:ptCount val="8"/>
                <c:pt idx="0">
                  <c:v>3</c:v>
                </c:pt>
                <c:pt idx="1">
                  <c:v>4</c:v>
                </c:pt>
                <c:pt idx="2">
                  <c:v>5</c:v>
                </c:pt>
                <c:pt idx="3">
                  <c:v>4</c:v>
                </c:pt>
                <c:pt idx="4">
                  <c:v>5</c:v>
                </c:pt>
                <c:pt idx="5">
                  <c:v>4</c:v>
                </c:pt>
                <c:pt idx="6">
                  <c:v>4</c:v>
                </c:pt>
                <c:pt idx="7">
                  <c:v>1</c:v>
                </c:pt>
              </c:numCache>
            </c:numRef>
          </c:val>
          <c:extLst>
            <c:ext xmlns:c16="http://schemas.microsoft.com/office/drawing/2014/chart" uri="{C3380CC4-5D6E-409C-BE32-E72D297353CC}">
              <c16:uniqueId val="{00000001-E632-437D-B22D-8BFA22340179}"/>
            </c:ext>
          </c:extLst>
        </c:ser>
        <c:dLbls>
          <c:showLegendKey val="0"/>
          <c:showVal val="0"/>
          <c:showCatName val="0"/>
          <c:showSerName val="0"/>
          <c:showPercent val="0"/>
          <c:showBubbleSize val="0"/>
        </c:dLbls>
        <c:gapWidth val="30"/>
        <c:gapDepth val="30"/>
        <c:shape val="box"/>
        <c:axId val="220349032"/>
        <c:axId val="203227752"/>
        <c:axId val="0"/>
      </c:bar3DChart>
      <c:catAx>
        <c:axId val="22034903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03227752"/>
        <c:crosses val="autoZero"/>
        <c:auto val="1"/>
        <c:lblAlgn val="ctr"/>
        <c:lblOffset val="100"/>
        <c:noMultiLvlLbl val="0"/>
      </c:catAx>
      <c:valAx>
        <c:axId val="203227752"/>
        <c:scaling>
          <c:orientation val="minMax"/>
        </c:scaling>
        <c:delete val="0"/>
        <c:axPos val="b"/>
        <c:majorGridlines/>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0349032"/>
        <c:crosses val="autoZero"/>
        <c:crossBetween val="between"/>
        <c:majorUnit val="2"/>
      </c:valAx>
      <c:spPr>
        <a:noFill/>
        <a:ln w="25400">
          <a:noFill/>
        </a:ln>
      </c:spPr>
    </c:plotArea>
    <c:legend>
      <c:legendPos val="r"/>
      <c:layout>
        <c:manualLayout>
          <c:xMode val="edge"/>
          <c:yMode val="edge"/>
          <c:x val="0.91786474585953959"/>
          <c:y val="0.42437250490747502"/>
          <c:w val="5.7494866529774091E-2"/>
          <c:h val="0.18487505238315793"/>
        </c:manualLayout>
      </c:layout>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spPr>
    <a:ln>
      <a:solidFill>
        <a:schemeClr val="lt1">
          <a:shade val="50000"/>
        </a:schemeClr>
      </a:solid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PyramideAgesBIATSSCont!$L$4</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PyramideAgesBIATSSCont!$K$5:$K$14</c15:sqref>
                  </c15:fullRef>
                </c:ext>
              </c:extLst>
              <c:f>PyramideAgesBIATSSCont!$K$6:$K$14</c:f>
              <c:strCache>
                <c:ptCount val="9"/>
                <c:pt idx="0">
                  <c:v>20-24 ans</c:v>
                </c:pt>
                <c:pt idx="1">
                  <c:v>25-29 ans</c:v>
                </c:pt>
                <c:pt idx="2">
                  <c:v>30-34 ans</c:v>
                </c:pt>
                <c:pt idx="3">
                  <c:v>35-39 ans</c:v>
                </c:pt>
                <c:pt idx="4">
                  <c:v>40-44 ans</c:v>
                </c:pt>
                <c:pt idx="5">
                  <c:v>45-49 ans</c:v>
                </c:pt>
                <c:pt idx="6">
                  <c:v>50-54 ans</c:v>
                </c:pt>
                <c:pt idx="7">
                  <c:v>55-59 ans</c:v>
                </c:pt>
                <c:pt idx="8">
                  <c:v>60-64 ans</c:v>
                </c:pt>
              </c:strCache>
            </c:strRef>
          </c:cat>
          <c:val>
            <c:numRef>
              <c:extLst>
                <c:ext xmlns:c15="http://schemas.microsoft.com/office/drawing/2012/chart" uri="{02D57815-91ED-43cb-92C2-25804820EDAC}">
                  <c15:fullRef>
                    <c15:sqref>PyramideAgesBIATSSCont!$L$5:$L$14</c15:sqref>
                  </c15:fullRef>
                </c:ext>
              </c:extLst>
              <c:f>PyramideAgesBIATSSCont!$L$6:$L$14</c:f>
              <c:numCache>
                <c:formatCode>General</c:formatCode>
                <c:ptCount val="9"/>
                <c:pt idx="0">
                  <c:v>-15</c:v>
                </c:pt>
                <c:pt idx="1">
                  <c:v>-25</c:v>
                </c:pt>
                <c:pt idx="2">
                  <c:v>-12</c:v>
                </c:pt>
                <c:pt idx="3">
                  <c:v>-24</c:v>
                </c:pt>
                <c:pt idx="4">
                  <c:v>-19</c:v>
                </c:pt>
                <c:pt idx="5">
                  <c:v>-6</c:v>
                </c:pt>
                <c:pt idx="6">
                  <c:v>-10</c:v>
                </c:pt>
                <c:pt idx="7">
                  <c:v>-8</c:v>
                </c:pt>
                <c:pt idx="8">
                  <c:v>-2</c:v>
                </c:pt>
              </c:numCache>
            </c:numRef>
          </c:val>
          <c:extLst>
            <c:ext xmlns:c16="http://schemas.microsoft.com/office/drawing/2014/chart" uri="{C3380CC4-5D6E-409C-BE32-E72D297353CC}">
              <c16:uniqueId val="{00000000-9742-4554-828D-AE5ECE25CBAE}"/>
            </c:ext>
          </c:extLst>
        </c:ser>
        <c:ser>
          <c:idx val="1"/>
          <c:order val="1"/>
          <c:tx>
            <c:strRef>
              <c:f>PyramideAgesBIATSSCont!$M$4</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PyramideAgesBIATSSCont!$K$5:$K$14</c15:sqref>
                  </c15:fullRef>
                </c:ext>
              </c:extLst>
              <c:f>PyramideAgesBIATSSCont!$K$6:$K$14</c:f>
              <c:strCache>
                <c:ptCount val="9"/>
                <c:pt idx="0">
                  <c:v>20-24 ans</c:v>
                </c:pt>
                <c:pt idx="1">
                  <c:v>25-29 ans</c:v>
                </c:pt>
                <c:pt idx="2">
                  <c:v>30-34 ans</c:v>
                </c:pt>
                <c:pt idx="3">
                  <c:v>35-39 ans</c:v>
                </c:pt>
                <c:pt idx="4">
                  <c:v>40-44 ans</c:v>
                </c:pt>
                <c:pt idx="5">
                  <c:v>45-49 ans</c:v>
                </c:pt>
                <c:pt idx="6">
                  <c:v>50-54 ans</c:v>
                </c:pt>
                <c:pt idx="7">
                  <c:v>55-59 ans</c:v>
                </c:pt>
                <c:pt idx="8">
                  <c:v>60-64 ans</c:v>
                </c:pt>
              </c:strCache>
            </c:strRef>
          </c:cat>
          <c:val>
            <c:numRef>
              <c:extLst>
                <c:ext xmlns:c15="http://schemas.microsoft.com/office/drawing/2012/chart" uri="{02D57815-91ED-43cb-92C2-25804820EDAC}">
                  <c15:fullRef>
                    <c15:sqref>PyramideAgesBIATSSCont!$M$5:$M$14</c15:sqref>
                  </c15:fullRef>
                </c:ext>
              </c:extLst>
              <c:f>PyramideAgesBIATSSCont!$M$6:$M$14</c:f>
              <c:numCache>
                <c:formatCode>General</c:formatCode>
                <c:ptCount val="9"/>
                <c:pt idx="0">
                  <c:v>8</c:v>
                </c:pt>
                <c:pt idx="1">
                  <c:v>14</c:v>
                </c:pt>
                <c:pt idx="2">
                  <c:v>6</c:v>
                </c:pt>
                <c:pt idx="3">
                  <c:v>5</c:v>
                </c:pt>
                <c:pt idx="4">
                  <c:v>6</c:v>
                </c:pt>
                <c:pt idx="5">
                  <c:v>3</c:v>
                </c:pt>
                <c:pt idx="6">
                  <c:v>1</c:v>
                </c:pt>
                <c:pt idx="7">
                  <c:v>7</c:v>
                </c:pt>
              </c:numCache>
            </c:numRef>
          </c:val>
          <c:extLst>
            <c:ext xmlns:c16="http://schemas.microsoft.com/office/drawing/2014/chart" uri="{C3380CC4-5D6E-409C-BE32-E72D297353CC}">
              <c16:uniqueId val="{00000001-9742-4554-828D-AE5ECE25CBAE}"/>
            </c:ext>
          </c:extLst>
        </c:ser>
        <c:dLbls>
          <c:showLegendKey val="0"/>
          <c:showVal val="0"/>
          <c:showCatName val="0"/>
          <c:showSerName val="0"/>
          <c:showPercent val="0"/>
          <c:showBubbleSize val="0"/>
        </c:dLbls>
        <c:gapWidth val="30"/>
        <c:gapDepth val="30"/>
        <c:shape val="box"/>
        <c:axId val="203226968"/>
        <c:axId val="203228536"/>
        <c:axId val="0"/>
      </c:bar3DChart>
      <c:catAx>
        <c:axId val="203226968"/>
        <c:scaling>
          <c:orientation val="minMax"/>
        </c:scaling>
        <c:delete val="0"/>
        <c:axPos val="l"/>
        <c:numFmt formatCode="General" sourceLinked="1"/>
        <c:majorTickMark val="out"/>
        <c:minorTickMark val="none"/>
        <c:tickLblPos val="high"/>
        <c:txPr>
          <a:bodyPr rot="0" vert="horz"/>
          <a:lstStyle/>
          <a:p>
            <a:pPr>
              <a:defRPr>
                <a:solidFill>
                  <a:schemeClr val="tx1"/>
                </a:solidFill>
              </a:defRPr>
            </a:pPr>
            <a:endParaRPr lang="fr-FR"/>
          </a:p>
        </c:txPr>
        <c:crossAx val="203228536"/>
        <c:crosses val="autoZero"/>
        <c:auto val="1"/>
        <c:lblAlgn val="ctr"/>
        <c:lblOffset val="100"/>
        <c:noMultiLvlLbl val="0"/>
      </c:catAx>
      <c:valAx>
        <c:axId val="203228536"/>
        <c:scaling>
          <c:orientation val="minMax"/>
        </c:scaling>
        <c:delete val="0"/>
        <c:axPos val="b"/>
        <c:majorGridlines/>
        <c:numFmt formatCode="0;0" sourceLinked="0"/>
        <c:majorTickMark val="out"/>
        <c:minorTickMark val="none"/>
        <c:tickLblPos val="nextTo"/>
        <c:txPr>
          <a:bodyPr rot="0" vert="horz"/>
          <a:lstStyle/>
          <a:p>
            <a:pPr>
              <a:defRPr/>
            </a:pPr>
            <a:endParaRPr lang="fr-FR"/>
          </a:p>
        </c:txPr>
        <c:crossAx val="203226968"/>
        <c:crosses val="autoZero"/>
        <c:crossBetween val="between"/>
        <c:majorUnit val="2"/>
      </c:valAx>
      <c:spPr>
        <a:noFill/>
        <a:ln w="25400">
          <a:noFill/>
        </a:ln>
      </c:spPr>
    </c:plotArea>
    <c:legend>
      <c:legendPos val="r"/>
      <c:layout>
        <c:manualLayout>
          <c:xMode val="edge"/>
          <c:yMode val="edge"/>
          <c:x val="0.92213195430489259"/>
          <c:y val="0.42083388013998257"/>
          <c:w val="6.206972847394425E-2"/>
          <c:h val="0.18271510695643284"/>
        </c:manualLayout>
      </c:layout>
      <c:overlay val="0"/>
    </c:legend>
    <c:plotVisOnly val="1"/>
    <c:dispBlanksAs val="gap"/>
    <c:showDLblsOverMax val="0"/>
  </c:chart>
  <c:spPr>
    <a:ln>
      <a:solidFill>
        <a:schemeClr val="lt1">
          <a:shade val="50000"/>
        </a:schemeClr>
      </a:solidFill>
    </a:ln>
  </c:spPr>
  <c:txPr>
    <a:bodyPr/>
    <a:lstStyle/>
    <a:p>
      <a:pPr>
        <a:defRPr sz="800" b="0" i="0" u="none" strike="noStrike" baseline="0">
          <a:solidFill>
            <a:schemeClr val="bg1">
              <a:lumMod val="50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fr-FR" sz="960" b="1" i="0" u="none" strike="noStrike" kern="1200" baseline="0">
                <a:solidFill>
                  <a:srgbClr val="003366"/>
                </a:solidFill>
                <a:latin typeface="Calibri"/>
                <a:ea typeface="Calibri"/>
                <a:cs typeface="Calibri"/>
              </a:defRPr>
            </a:pPr>
            <a:r>
              <a:rPr lang="fr-FR" sz="960" b="1" i="0" u="none" strike="noStrike" kern="1200" baseline="0">
                <a:solidFill>
                  <a:srgbClr val="003366"/>
                </a:solidFill>
                <a:latin typeface="Calibri"/>
                <a:ea typeface="Calibri"/>
                <a:cs typeface="Calibri"/>
              </a:rPr>
              <a:t>Personnels en activité atteignant l'âge de 62 ans</a:t>
            </a:r>
          </a:p>
        </c:rich>
      </c:tx>
      <c:layout>
        <c:manualLayout>
          <c:xMode val="edge"/>
          <c:yMode val="edge"/>
          <c:x val="0.19406072311286993"/>
          <c:y val="3.0888030888030889E-2"/>
        </c:manualLayout>
      </c:layout>
      <c:overlay val="0"/>
    </c:title>
    <c:autoTitleDeleted val="0"/>
    <c:plotArea>
      <c:layout>
        <c:manualLayout>
          <c:layoutTarget val="inner"/>
          <c:xMode val="edge"/>
          <c:yMode val="edge"/>
          <c:x val="6.6239316239316254E-2"/>
          <c:y val="0.12562729658792651"/>
          <c:w val="0.66025641025641046"/>
          <c:h val="0.72690726159230101"/>
        </c:manualLayout>
      </c:layout>
      <c:lineChart>
        <c:grouping val="standard"/>
        <c:varyColors val="0"/>
        <c:ser>
          <c:idx val="0"/>
          <c:order val="0"/>
          <c:tx>
            <c:strRef>
              <c:f>Départs_Retraite!$D$14</c:f>
              <c:strCache>
                <c:ptCount val="1"/>
                <c:pt idx="0">
                  <c:v>Enseignants</c:v>
                </c:pt>
              </c:strCache>
            </c:strRef>
          </c:tx>
          <c:marker>
            <c:symbol val="none"/>
          </c:marker>
          <c:cat>
            <c:numRef>
              <c:f>Départs_Retraite!$C$15:$C$19</c:f>
              <c:numCache>
                <c:formatCode>General</c:formatCode>
                <c:ptCount val="5"/>
                <c:pt idx="0">
                  <c:v>2022</c:v>
                </c:pt>
                <c:pt idx="1">
                  <c:v>2023</c:v>
                </c:pt>
                <c:pt idx="2">
                  <c:v>2024</c:v>
                </c:pt>
                <c:pt idx="3">
                  <c:v>2025</c:v>
                </c:pt>
                <c:pt idx="4">
                  <c:v>2026</c:v>
                </c:pt>
              </c:numCache>
            </c:numRef>
          </c:cat>
          <c:val>
            <c:numRef>
              <c:f>Départs_Retraite!$D$15:$D$19</c:f>
              <c:numCache>
                <c:formatCode>General</c:formatCode>
                <c:ptCount val="5"/>
                <c:pt idx="0">
                  <c:v>21</c:v>
                </c:pt>
                <c:pt idx="1">
                  <c:v>20</c:v>
                </c:pt>
                <c:pt idx="2">
                  <c:v>27</c:v>
                </c:pt>
                <c:pt idx="3">
                  <c:v>22</c:v>
                </c:pt>
                <c:pt idx="4">
                  <c:v>13</c:v>
                </c:pt>
              </c:numCache>
            </c:numRef>
          </c:val>
          <c:smooth val="0"/>
          <c:extLst>
            <c:ext xmlns:c16="http://schemas.microsoft.com/office/drawing/2014/chart" uri="{C3380CC4-5D6E-409C-BE32-E72D297353CC}">
              <c16:uniqueId val="{00000000-369E-419D-B6EC-2C587E1DB112}"/>
            </c:ext>
          </c:extLst>
        </c:ser>
        <c:ser>
          <c:idx val="1"/>
          <c:order val="1"/>
          <c:tx>
            <c:strRef>
              <c:f>Départs_Retraite!$E$14</c:f>
              <c:strCache>
                <c:ptCount val="1"/>
                <c:pt idx="0">
                  <c:v>BIATSS</c:v>
                </c:pt>
              </c:strCache>
            </c:strRef>
          </c:tx>
          <c:marker>
            <c:symbol val="none"/>
          </c:marker>
          <c:cat>
            <c:numRef>
              <c:f>Départs_Retraite!$C$15:$C$19</c:f>
              <c:numCache>
                <c:formatCode>General</c:formatCode>
                <c:ptCount val="5"/>
                <c:pt idx="0">
                  <c:v>2022</c:v>
                </c:pt>
                <c:pt idx="1">
                  <c:v>2023</c:v>
                </c:pt>
                <c:pt idx="2">
                  <c:v>2024</c:v>
                </c:pt>
                <c:pt idx="3">
                  <c:v>2025</c:v>
                </c:pt>
                <c:pt idx="4">
                  <c:v>2026</c:v>
                </c:pt>
              </c:numCache>
            </c:numRef>
          </c:cat>
          <c:val>
            <c:numRef>
              <c:f>Départs_Retraite!$E$15:$E$19</c:f>
              <c:numCache>
                <c:formatCode>General</c:formatCode>
                <c:ptCount val="5"/>
                <c:pt idx="0">
                  <c:v>20</c:v>
                </c:pt>
                <c:pt idx="1">
                  <c:v>12</c:v>
                </c:pt>
                <c:pt idx="2">
                  <c:v>18</c:v>
                </c:pt>
                <c:pt idx="3">
                  <c:v>18</c:v>
                </c:pt>
                <c:pt idx="4">
                  <c:v>16</c:v>
                </c:pt>
              </c:numCache>
            </c:numRef>
          </c:val>
          <c:smooth val="0"/>
          <c:extLst>
            <c:ext xmlns:c16="http://schemas.microsoft.com/office/drawing/2014/chart" uri="{C3380CC4-5D6E-409C-BE32-E72D297353CC}">
              <c16:uniqueId val="{00000001-369E-419D-B6EC-2C587E1DB112}"/>
            </c:ext>
          </c:extLst>
        </c:ser>
        <c:ser>
          <c:idx val="2"/>
          <c:order val="2"/>
          <c:tx>
            <c:strRef>
              <c:f>Départs_Retraite!$F$14</c:f>
              <c:strCache>
                <c:ptCount val="1"/>
                <c:pt idx="0">
                  <c:v>ENS + BIATSS</c:v>
                </c:pt>
              </c:strCache>
            </c:strRef>
          </c:tx>
          <c:marker>
            <c:symbol val="none"/>
          </c:marker>
          <c:cat>
            <c:numRef>
              <c:f>Départs_Retraite!$C$15:$C$19</c:f>
              <c:numCache>
                <c:formatCode>General</c:formatCode>
                <c:ptCount val="5"/>
                <c:pt idx="0">
                  <c:v>2022</c:v>
                </c:pt>
                <c:pt idx="1">
                  <c:v>2023</c:v>
                </c:pt>
                <c:pt idx="2">
                  <c:v>2024</c:v>
                </c:pt>
                <c:pt idx="3">
                  <c:v>2025</c:v>
                </c:pt>
                <c:pt idx="4">
                  <c:v>2026</c:v>
                </c:pt>
              </c:numCache>
            </c:numRef>
          </c:cat>
          <c:val>
            <c:numRef>
              <c:f>Départs_Retraite!$F$15:$F$19</c:f>
              <c:numCache>
                <c:formatCode>General</c:formatCode>
                <c:ptCount val="5"/>
                <c:pt idx="0">
                  <c:v>41</c:v>
                </c:pt>
                <c:pt idx="1">
                  <c:v>32</c:v>
                </c:pt>
                <c:pt idx="2">
                  <c:v>45</c:v>
                </c:pt>
                <c:pt idx="3">
                  <c:v>40</c:v>
                </c:pt>
                <c:pt idx="4">
                  <c:v>29</c:v>
                </c:pt>
              </c:numCache>
            </c:numRef>
          </c:val>
          <c:smooth val="0"/>
          <c:extLst>
            <c:ext xmlns:c16="http://schemas.microsoft.com/office/drawing/2014/chart" uri="{C3380CC4-5D6E-409C-BE32-E72D297353CC}">
              <c16:uniqueId val="{00000002-369E-419D-B6EC-2C587E1DB112}"/>
            </c:ext>
          </c:extLst>
        </c:ser>
        <c:dLbls>
          <c:showLegendKey val="0"/>
          <c:showVal val="0"/>
          <c:showCatName val="0"/>
          <c:showSerName val="0"/>
          <c:showPercent val="0"/>
          <c:showBubbleSize val="0"/>
        </c:dLbls>
        <c:smooth val="0"/>
        <c:axId val="224249208"/>
        <c:axId val="224246072"/>
      </c:lineChart>
      <c:catAx>
        <c:axId val="224249208"/>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3366"/>
                </a:solidFill>
                <a:latin typeface="Calibri"/>
                <a:ea typeface="Calibri"/>
                <a:cs typeface="Calibri"/>
              </a:defRPr>
            </a:pPr>
            <a:endParaRPr lang="fr-FR"/>
          </a:p>
        </c:txPr>
        <c:crossAx val="224246072"/>
        <c:crosses val="autoZero"/>
        <c:auto val="1"/>
        <c:lblAlgn val="ctr"/>
        <c:lblOffset val="100"/>
        <c:noMultiLvlLbl val="0"/>
      </c:catAx>
      <c:valAx>
        <c:axId val="224246072"/>
        <c:scaling>
          <c:orientation val="minMax"/>
        </c:scaling>
        <c:delete val="0"/>
        <c:axPos val="l"/>
        <c:majorGridlines/>
        <c:numFmt formatCode="General" sourceLinked="1"/>
        <c:majorTickMark val="out"/>
        <c:minorTickMark val="none"/>
        <c:tickLblPos val="nextTo"/>
        <c:txPr>
          <a:bodyPr rot="0" vert="horz"/>
          <a:lstStyle/>
          <a:p>
            <a:pPr>
              <a:defRPr sz="900" b="0" i="0" u="none" strike="noStrike" baseline="0">
                <a:solidFill>
                  <a:srgbClr val="003366"/>
                </a:solidFill>
                <a:latin typeface="Calibri"/>
                <a:ea typeface="Calibri"/>
                <a:cs typeface="Calibri"/>
              </a:defRPr>
            </a:pPr>
            <a:endParaRPr lang="fr-FR"/>
          </a:p>
        </c:txPr>
        <c:crossAx val="224249208"/>
        <c:crosses val="autoZero"/>
        <c:crossBetween val="between"/>
      </c:valAx>
    </c:plotArea>
    <c:legend>
      <c:legendPos val="r"/>
      <c:layout>
        <c:manualLayout>
          <c:xMode val="edge"/>
          <c:yMode val="edge"/>
          <c:x val="0.78676639454994579"/>
          <c:y val="0.35185233790220688"/>
          <c:w val="0.20220636482939644"/>
          <c:h val="0.26296296296296323"/>
        </c:manualLayout>
      </c:layout>
      <c:overlay val="0"/>
      <c:txPr>
        <a:bodyPr/>
        <a:lstStyle/>
        <a:p>
          <a:pPr>
            <a:defRPr sz="690" b="0" i="0" u="none" strike="noStrike" baseline="0">
              <a:solidFill>
                <a:srgbClr val="003366"/>
              </a:solidFill>
              <a:latin typeface="Calibri"/>
              <a:ea typeface="Calibri"/>
              <a:cs typeface="Calibri"/>
            </a:defRPr>
          </a:pPr>
          <a:endParaRPr lang="fr-FR"/>
        </a:p>
      </c:txPr>
    </c:legend>
    <c:plotVisOnly val="1"/>
    <c:dispBlanksAs val="gap"/>
    <c:showDLblsOverMax val="0"/>
  </c:chart>
  <c:spPr>
    <a:ln>
      <a:noFill/>
    </a:ln>
  </c:spPr>
  <c:txPr>
    <a:bodyPr/>
    <a:lstStyle/>
    <a:p>
      <a:pPr>
        <a:defRPr sz="9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Personnels en activité atteignant l'âge de 67 ans</a:t>
            </a:r>
          </a:p>
        </c:rich>
      </c:tx>
      <c:overlay val="0"/>
    </c:title>
    <c:autoTitleDeleted val="0"/>
    <c:plotArea>
      <c:layout>
        <c:manualLayout>
          <c:layoutTarget val="inner"/>
          <c:xMode val="edge"/>
          <c:yMode val="edge"/>
          <c:x val="6.1833688699360338E-2"/>
          <c:y val="0.12567068291721267"/>
          <c:w val="0.68230277185501031"/>
          <c:h val="0.74389433279602935"/>
        </c:manualLayout>
      </c:layout>
      <c:lineChart>
        <c:grouping val="standard"/>
        <c:varyColors val="0"/>
        <c:ser>
          <c:idx val="0"/>
          <c:order val="0"/>
          <c:tx>
            <c:strRef>
              <c:f>Départs_Retraite!$D$35</c:f>
              <c:strCache>
                <c:ptCount val="1"/>
                <c:pt idx="0">
                  <c:v>Enseignants</c:v>
                </c:pt>
              </c:strCache>
            </c:strRef>
          </c:tx>
          <c:marker>
            <c:symbol val="none"/>
          </c:marker>
          <c:cat>
            <c:numRef>
              <c:f>Départs_Retraite!$C$36:$C$40</c:f>
              <c:numCache>
                <c:formatCode>General</c:formatCode>
                <c:ptCount val="5"/>
                <c:pt idx="0">
                  <c:v>2022</c:v>
                </c:pt>
                <c:pt idx="1">
                  <c:v>2023</c:v>
                </c:pt>
                <c:pt idx="2">
                  <c:v>2024</c:v>
                </c:pt>
                <c:pt idx="3">
                  <c:v>2025</c:v>
                </c:pt>
                <c:pt idx="4">
                  <c:v>2026</c:v>
                </c:pt>
              </c:numCache>
            </c:numRef>
          </c:cat>
          <c:val>
            <c:numRef>
              <c:f>Départs_Retraite!$D$36:$D$40</c:f>
              <c:numCache>
                <c:formatCode>General</c:formatCode>
                <c:ptCount val="5"/>
                <c:pt idx="0">
                  <c:v>13</c:v>
                </c:pt>
                <c:pt idx="1">
                  <c:v>8</c:v>
                </c:pt>
                <c:pt idx="2">
                  <c:v>8</c:v>
                </c:pt>
                <c:pt idx="3">
                  <c:v>12</c:v>
                </c:pt>
                <c:pt idx="4">
                  <c:v>11</c:v>
                </c:pt>
              </c:numCache>
            </c:numRef>
          </c:val>
          <c:smooth val="0"/>
          <c:extLst>
            <c:ext xmlns:c16="http://schemas.microsoft.com/office/drawing/2014/chart" uri="{C3380CC4-5D6E-409C-BE32-E72D297353CC}">
              <c16:uniqueId val="{00000000-8D8B-42F4-8EB9-BD2AA6F04C3C}"/>
            </c:ext>
          </c:extLst>
        </c:ser>
        <c:ser>
          <c:idx val="1"/>
          <c:order val="1"/>
          <c:tx>
            <c:strRef>
              <c:f>Départs_Retraite!$E$35</c:f>
              <c:strCache>
                <c:ptCount val="1"/>
                <c:pt idx="0">
                  <c:v>Biatss</c:v>
                </c:pt>
              </c:strCache>
            </c:strRef>
          </c:tx>
          <c:marker>
            <c:symbol val="none"/>
          </c:marker>
          <c:cat>
            <c:numRef>
              <c:f>Départs_Retraite!$C$36:$C$40</c:f>
              <c:numCache>
                <c:formatCode>General</c:formatCode>
                <c:ptCount val="5"/>
                <c:pt idx="0">
                  <c:v>2022</c:v>
                </c:pt>
                <c:pt idx="1">
                  <c:v>2023</c:v>
                </c:pt>
                <c:pt idx="2">
                  <c:v>2024</c:v>
                </c:pt>
                <c:pt idx="3">
                  <c:v>2025</c:v>
                </c:pt>
                <c:pt idx="4">
                  <c:v>2026</c:v>
                </c:pt>
              </c:numCache>
            </c:numRef>
          </c:cat>
          <c:val>
            <c:numRef>
              <c:f>Départs_Retraite!$E$36:$E$40</c:f>
              <c:numCache>
                <c:formatCode>General</c:formatCode>
                <c:ptCount val="5"/>
                <c:pt idx="0">
                  <c:v>2</c:v>
                </c:pt>
                <c:pt idx="1">
                  <c:v>5</c:v>
                </c:pt>
                <c:pt idx="2">
                  <c:v>4</c:v>
                </c:pt>
                <c:pt idx="3">
                  <c:v>1</c:v>
                </c:pt>
                <c:pt idx="4">
                  <c:v>6</c:v>
                </c:pt>
              </c:numCache>
            </c:numRef>
          </c:val>
          <c:smooth val="0"/>
          <c:extLst>
            <c:ext xmlns:c16="http://schemas.microsoft.com/office/drawing/2014/chart" uri="{C3380CC4-5D6E-409C-BE32-E72D297353CC}">
              <c16:uniqueId val="{00000001-8D8B-42F4-8EB9-BD2AA6F04C3C}"/>
            </c:ext>
          </c:extLst>
        </c:ser>
        <c:ser>
          <c:idx val="2"/>
          <c:order val="2"/>
          <c:tx>
            <c:strRef>
              <c:f>Départs_Retraite!$F$35</c:f>
              <c:strCache>
                <c:ptCount val="1"/>
                <c:pt idx="0">
                  <c:v>ENS + BIATSS</c:v>
                </c:pt>
              </c:strCache>
            </c:strRef>
          </c:tx>
          <c:marker>
            <c:symbol val="none"/>
          </c:marker>
          <c:cat>
            <c:numRef>
              <c:f>Départs_Retraite!$C$36:$C$40</c:f>
              <c:numCache>
                <c:formatCode>General</c:formatCode>
                <c:ptCount val="5"/>
                <c:pt idx="0">
                  <c:v>2022</c:v>
                </c:pt>
                <c:pt idx="1">
                  <c:v>2023</c:v>
                </c:pt>
                <c:pt idx="2">
                  <c:v>2024</c:v>
                </c:pt>
                <c:pt idx="3">
                  <c:v>2025</c:v>
                </c:pt>
                <c:pt idx="4">
                  <c:v>2026</c:v>
                </c:pt>
              </c:numCache>
            </c:numRef>
          </c:cat>
          <c:val>
            <c:numRef>
              <c:f>Départs_Retraite!$F$36:$F$40</c:f>
              <c:numCache>
                <c:formatCode>General</c:formatCode>
                <c:ptCount val="5"/>
                <c:pt idx="0">
                  <c:v>15</c:v>
                </c:pt>
                <c:pt idx="1">
                  <c:v>13</c:v>
                </c:pt>
                <c:pt idx="2">
                  <c:v>12</c:v>
                </c:pt>
                <c:pt idx="3">
                  <c:v>13</c:v>
                </c:pt>
                <c:pt idx="4">
                  <c:v>17</c:v>
                </c:pt>
              </c:numCache>
            </c:numRef>
          </c:val>
          <c:smooth val="0"/>
          <c:extLst>
            <c:ext xmlns:c16="http://schemas.microsoft.com/office/drawing/2014/chart" uri="{C3380CC4-5D6E-409C-BE32-E72D297353CC}">
              <c16:uniqueId val="{00000000-FFBB-4C05-ADF2-7D996ACCC540}"/>
            </c:ext>
          </c:extLst>
        </c:ser>
        <c:dLbls>
          <c:showLegendKey val="0"/>
          <c:showVal val="0"/>
          <c:showCatName val="0"/>
          <c:showSerName val="0"/>
          <c:showPercent val="0"/>
          <c:showBubbleSize val="0"/>
        </c:dLbls>
        <c:smooth val="0"/>
        <c:axId val="202760088"/>
        <c:axId val="202758912"/>
      </c:lineChart>
      <c:catAx>
        <c:axId val="202760088"/>
        <c:scaling>
          <c:orientation val="minMax"/>
        </c:scaling>
        <c:delete val="0"/>
        <c:axPos val="b"/>
        <c:numFmt formatCode="General" sourceLinked="1"/>
        <c:majorTickMark val="out"/>
        <c:minorTickMark val="none"/>
        <c:tickLblPos val="nextTo"/>
        <c:txPr>
          <a:bodyPr rot="0" vert="horz"/>
          <a:lstStyle/>
          <a:p>
            <a:pPr>
              <a:defRPr sz="800" b="1" i="0" u="none" strike="noStrike" baseline="0">
                <a:solidFill>
                  <a:srgbClr val="003366"/>
                </a:solidFill>
                <a:latin typeface="Calibri"/>
                <a:ea typeface="Calibri"/>
                <a:cs typeface="Calibri"/>
              </a:defRPr>
            </a:pPr>
            <a:endParaRPr lang="fr-FR"/>
          </a:p>
        </c:txPr>
        <c:crossAx val="202758912"/>
        <c:crosses val="autoZero"/>
        <c:auto val="1"/>
        <c:lblAlgn val="ctr"/>
        <c:lblOffset val="100"/>
        <c:noMultiLvlLbl val="0"/>
      </c:catAx>
      <c:valAx>
        <c:axId val="202758912"/>
        <c:scaling>
          <c:orientation val="minMax"/>
        </c:scaling>
        <c:delete val="0"/>
        <c:axPos val="l"/>
        <c:majorGridlines/>
        <c:numFmt formatCode="General" sourceLinked="1"/>
        <c:majorTickMark val="out"/>
        <c:minorTickMark val="none"/>
        <c:tickLblPos val="nextTo"/>
        <c:txPr>
          <a:bodyPr rot="0" vert="horz"/>
          <a:lstStyle/>
          <a:p>
            <a:pPr>
              <a:defRPr sz="800" b="1" i="0" u="none" strike="noStrike" baseline="0">
                <a:solidFill>
                  <a:srgbClr val="003366"/>
                </a:solidFill>
                <a:latin typeface="Calibri"/>
                <a:ea typeface="Calibri"/>
                <a:cs typeface="Calibri"/>
              </a:defRPr>
            </a:pPr>
            <a:endParaRPr lang="fr-FR"/>
          </a:p>
        </c:txPr>
        <c:crossAx val="202760088"/>
        <c:crosses val="autoZero"/>
        <c:crossBetween val="between"/>
      </c:valAx>
    </c:plotArea>
    <c:legend>
      <c:legendPos val="r"/>
      <c:layout>
        <c:manualLayout>
          <c:xMode val="edge"/>
          <c:yMode val="edge"/>
          <c:x val="0.7816535433070867"/>
          <c:y val="0.37366688149746435"/>
          <c:w val="0.19045432891094091"/>
          <c:h val="0.25020862082961282"/>
        </c:manualLayout>
      </c:layout>
      <c:overlay val="0"/>
      <c:txPr>
        <a:bodyPr/>
        <a:lstStyle/>
        <a:p>
          <a:pPr>
            <a:defRPr sz="675" b="1" i="0" u="none" strike="noStrike" baseline="0">
              <a:solidFill>
                <a:srgbClr val="003366"/>
              </a:solidFill>
              <a:latin typeface="Calibri"/>
              <a:ea typeface="Calibri"/>
              <a:cs typeface="Calibri"/>
            </a:defRPr>
          </a:pPr>
          <a:endParaRPr lang="fr-FR"/>
        </a:p>
      </c:txPr>
    </c:legend>
    <c:plotVisOnly val="1"/>
    <c:dispBlanksAs val="gap"/>
    <c:showDLblsOverMax val="0"/>
  </c:chart>
  <c:spPr>
    <a:ln>
      <a:noFill/>
    </a:ln>
  </c:spPr>
  <c:txPr>
    <a:bodyPr/>
    <a:lstStyle/>
    <a:p>
      <a:pPr>
        <a:defRPr sz="800" b="1" i="0" u="none" strike="noStrike" baseline="0">
          <a:solidFill>
            <a:srgbClr val="003366"/>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6152794010174515"/>
          <c:y val="0.10487286650144342"/>
          <c:w val="0.71440858625066239"/>
          <c:h val="0.68827006380300026"/>
        </c:manualLayout>
      </c:layout>
      <c:bar3DChart>
        <c:barDir val="bar"/>
        <c:grouping val="stacked"/>
        <c:varyColors val="0"/>
        <c:ser>
          <c:idx val="0"/>
          <c:order val="0"/>
          <c:tx>
            <c:strRef>
              <c:f>Parité!$G$49</c:f>
              <c:strCache>
                <c:ptCount val="1"/>
                <c:pt idx="0">
                  <c:v>Femmes</c:v>
                </c:pt>
              </c:strCache>
            </c:strRef>
          </c:tx>
          <c:spPr>
            <a:solidFill>
              <a:schemeClr val="accent1">
                <a:lumMod val="60000"/>
                <a:lumOff val="40000"/>
              </a:schemeClr>
            </a:solidFill>
          </c:spPr>
          <c:invertIfNegative val="0"/>
          <c:dLbls>
            <c:dLbl>
              <c:idx val="0"/>
              <c:layout>
                <c:manualLayout>
                  <c:x val="8.6393088552916032E-3"/>
                  <c:y val="0"/>
                </c:manualLayout>
              </c:layout>
              <c:spPr/>
              <c:txPr>
                <a:bodyPr/>
                <a:lstStyle/>
                <a:p>
                  <a:pPr>
                    <a:defRPr sz="9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3B-44AE-8CAF-DDDB2F607BA7}"/>
                </c:ext>
              </c:extLst>
            </c:dLbl>
            <c:dLbl>
              <c:idx val="1"/>
              <c:layout>
                <c:manualLayout>
                  <c:x val="2.8796613119840618E-3"/>
                  <c:y val="-5.7473007860256728E-3"/>
                </c:manualLayout>
              </c:layout>
              <c:spPr/>
              <c:txPr>
                <a:bodyPr/>
                <a:lstStyle/>
                <a:p>
                  <a:pPr>
                    <a:defRPr sz="9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3B-44AE-8CAF-DDDB2F607BA7}"/>
                </c:ext>
              </c:extLst>
            </c:dLbl>
            <c:dLbl>
              <c:idx val="2"/>
              <c:layout>
                <c:manualLayout>
                  <c:x val="5.7595392368610509E-3"/>
                  <c:y val="0"/>
                </c:manualLayout>
              </c:layout>
              <c:spPr/>
              <c:txPr>
                <a:bodyPr/>
                <a:lstStyle/>
                <a:p>
                  <a:pPr>
                    <a:defRPr sz="9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3B-44AE-8CAF-DDDB2F607BA7}"/>
                </c:ext>
              </c:extLst>
            </c:dLbl>
            <c:dLbl>
              <c:idx val="3"/>
              <c:layout>
                <c:manualLayout>
                  <c:x val="0"/>
                  <c:y val="8.1300813008129344E-3"/>
                </c:manualLayout>
              </c:layout>
              <c:spPr/>
              <c:txPr>
                <a:bodyPr/>
                <a:lstStyle/>
                <a:p>
                  <a:pPr>
                    <a:defRPr sz="9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3B-44AE-8CAF-DDDB2F607BA7}"/>
                </c:ext>
              </c:extLst>
            </c:dLbl>
            <c:spPr>
              <a:noFill/>
              <a:ln w="25400">
                <a:noFill/>
              </a:ln>
            </c:spPr>
            <c:txPr>
              <a:bodyPr/>
              <a:lstStyle/>
              <a:p>
                <a:pPr>
                  <a:defRPr sz="9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Parité!$B$50:$B$53</c:f>
              <c:strCache>
                <c:ptCount val="4"/>
                <c:pt idx="0">
                  <c:v>ALL-SHS</c:v>
                </c:pt>
                <c:pt idx="1">
                  <c:v>Droit-Sc.Eco</c:v>
                </c:pt>
                <c:pt idx="2">
                  <c:v>Sciences et Technologies</c:v>
                </c:pt>
                <c:pt idx="3">
                  <c:v>Médecine</c:v>
                </c:pt>
              </c:strCache>
            </c:strRef>
          </c:cat>
          <c:val>
            <c:numRef>
              <c:f>Parité!$G$50:$G$53</c:f>
              <c:numCache>
                <c:formatCode>0%</c:formatCode>
                <c:ptCount val="4"/>
                <c:pt idx="0">
                  <c:v>0.54</c:v>
                </c:pt>
                <c:pt idx="1">
                  <c:v>0.52</c:v>
                </c:pt>
                <c:pt idx="2">
                  <c:v>0.3</c:v>
                </c:pt>
                <c:pt idx="3">
                  <c:v>0.35</c:v>
                </c:pt>
              </c:numCache>
            </c:numRef>
          </c:val>
          <c:extLst>
            <c:ext xmlns:c16="http://schemas.microsoft.com/office/drawing/2014/chart" uri="{C3380CC4-5D6E-409C-BE32-E72D297353CC}">
              <c16:uniqueId val="{00000004-793B-44AE-8CAF-DDDB2F607BA7}"/>
            </c:ext>
          </c:extLst>
        </c:ser>
        <c:ser>
          <c:idx val="1"/>
          <c:order val="1"/>
          <c:tx>
            <c:strRef>
              <c:f>Parité!$H$49</c:f>
              <c:strCache>
                <c:ptCount val="1"/>
                <c:pt idx="0">
                  <c:v>Hommes</c:v>
                </c:pt>
              </c:strCache>
            </c:strRef>
          </c:tx>
          <c:invertIfNegative val="0"/>
          <c:dLbls>
            <c:spPr>
              <a:noFill/>
              <a:ln>
                <a:noFill/>
              </a:ln>
              <a:effectLst/>
            </c:spPr>
            <c:txPr>
              <a:bodyPr wrap="square" lIns="38100" tIns="19050" rIns="38100" bIns="19050" anchor="ctr">
                <a:spAutoFit/>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Parité!$B$50:$B$53</c:f>
              <c:strCache>
                <c:ptCount val="4"/>
                <c:pt idx="0">
                  <c:v>ALL-SHS</c:v>
                </c:pt>
                <c:pt idx="1">
                  <c:v>Droit-Sc.Eco</c:v>
                </c:pt>
                <c:pt idx="2">
                  <c:v>Sciences et Technologies</c:v>
                </c:pt>
                <c:pt idx="3">
                  <c:v>Médecine</c:v>
                </c:pt>
              </c:strCache>
            </c:strRef>
          </c:cat>
          <c:val>
            <c:numRef>
              <c:f>Parité!$H$50:$H$53</c:f>
              <c:numCache>
                <c:formatCode>0%</c:formatCode>
                <c:ptCount val="4"/>
                <c:pt idx="0">
                  <c:v>0.46</c:v>
                </c:pt>
                <c:pt idx="1">
                  <c:v>0.48</c:v>
                </c:pt>
                <c:pt idx="2">
                  <c:v>0.7</c:v>
                </c:pt>
                <c:pt idx="3">
                  <c:v>0.65</c:v>
                </c:pt>
              </c:numCache>
            </c:numRef>
          </c:val>
          <c:extLst>
            <c:ext xmlns:c16="http://schemas.microsoft.com/office/drawing/2014/chart" uri="{C3380CC4-5D6E-409C-BE32-E72D297353CC}">
              <c16:uniqueId val="{00000004-4CA9-44D0-91A1-09E29F084AA2}"/>
            </c:ext>
          </c:extLst>
        </c:ser>
        <c:dLbls>
          <c:showLegendKey val="0"/>
          <c:showVal val="0"/>
          <c:showCatName val="0"/>
          <c:showSerName val="0"/>
          <c:showPercent val="0"/>
          <c:showBubbleSize val="0"/>
        </c:dLbls>
        <c:gapWidth val="150"/>
        <c:shape val="cylinder"/>
        <c:axId val="203326840"/>
        <c:axId val="203327624"/>
        <c:axId val="0"/>
      </c:bar3DChart>
      <c:catAx>
        <c:axId val="203326840"/>
        <c:scaling>
          <c:orientation val="minMax"/>
        </c:scaling>
        <c:delete val="0"/>
        <c:axPos val="l"/>
        <c:numFmt formatCode="General" sourceLinked="1"/>
        <c:majorTickMark val="out"/>
        <c:minorTickMark val="none"/>
        <c:tickLblPos val="nextTo"/>
        <c:txPr>
          <a:bodyPr rot="0" vert="horz"/>
          <a:lstStyle/>
          <a:p>
            <a:pPr>
              <a:defRPr sz="900" b="0" i="0" u="none" strike="noStrike" baseline="0">
                <a:solidFill>
                  <a:srgbClr val="333399"/>
                </a:solidFill>
                <a:latin typeface="Calibri"/>
                <a:ea typeface="Calibri"/>
                <a:cs typeface="Calibri"/>
              </a:defRPr>
            </a:pPr>
            <a:endParaRPr lang="fr-FR"/>
          </a:p>
        </c:txPr>
        <c:crossAx val="203327624"/>
        <c:crosses val="autoZero"/>
        <c:auto val="1"/>
        <c:lblAlgn val="ctr"/>
        <c:lblOffset val="100"/>
        <c:noMultiLvlLbl val="0"/>
      </c:catAx>
      <c:valAx>
        <c:axId val="203327624"/>
        <c:scaling>
          <c:orientation val="minMax"/>
        </c:scaling>
        <c:delete val="0"/>
        <c:axPos val="b"/>
        <c:majorGridlines/>
        <c:numFmt formatCode="0%" sourceLinked="1"/>
        <c:majorTickMark val="out"/>
        <c:minorTickMark val="none"/>
        <c:tickLblPos val="nextTo"/>
        <c:txPr>
          <a:bodyPr rot="0" vert="horz"/>
          <a:lstStyle/>
          <a:p>
            <a:pPr>
              <a:defRPr sz="900" b="0" i="0" u="none" strike="noStrike" baseline="0">
                <a:solidFill>
                  <a:srgbClr val="333399"/>
                </a:solidFill>
                <a:latin typeface="Calibri"/>
                <a:ea typeface="Calibri"/>
                <a:cs typeface="Calibri"/>
              </a:defRPr>
            </a:pPr>
            <a:endParaRPr lang="fr-FR"/>
          </a:p>
        </c:txPr>
        <c:crossAx val="203326840"/>
        <c:crosses val="autoZero"/>
        <c:crossBetween val="between"/>
      </c:valAx>
      <c:spPr>
        <a:noFill/>
        <a:ln w="25400">
          <a:noFill/>
        </a:ln>
      </c:spPr>
    </c:plotArea>
    <c:legend>
      <c:legendPos val="r"/>
      <c:layout>
        <c:manualLayout>
          <c:xMode val="edge"/>
          <c:yMode val="edge"/>
          <c:x val="0.83362606701189379"/>
          <c:y val="0.35821228297454649"/>
          <c:w val="0.10448716432968401"/>
          <c:h val="0.25307765011180378"/>
        </c:manualLayout>
      </c:layout>
      <c:overlay val="0"/>
      <c:txPr>
        <a:bodyPr/>
        <a:lstStyle/>
        <a:p>
          <a:pPr>
            <a:defRPr sz="755" b="0" i="0" u="none" strike="noStrike" baseline="0">
              <a:solidFill>
                <a:srgbClr val="333399"/>
              </a:solidFill>
              <a:latin typeface="Calibri"/>
              <a:ea typeface="Calibri"/>
              <a:cs typeface="Calibri"/>
            </a:defRPr>
          </a:pPr>
          <a:endParaRPr lang="fr-FR"/>
        </a:p>
      </c:txPr>
    </c:legend>
    <c:plotVisOnly val="1"/>
    <c:dispBlanksAs val="gap"/>
    <c:showDLblsOverMax val="0"/>
  </c:chart>
  <c:spPr>
    <a:ln>
      <a:noFill/>
    </a:ln>
  </c:spPr>
  <c:txPr>
    <a:bodyPr/>
    <a:lstStyle/>
    <a:p>
      <a:pPr>
        <a:defRPr sz="900" b="0" i="0" u="none" strike="noStrike" baseline="0">
          <a:solidFill>
            <a:srgbClr val="333399"/>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904419337002592E-2"/>
          <c:y val="4.5656053578607775E-2"/>
          <c:w val="0.68265477664858942"/>
          <c:h val="0.89830409586099358"/>
        </c:manualLayout>
      </c:layout>
      <c:doughnutChart>
        <c:varyColors val="1"/>
        <c:ser>
          <c:idx val="0"/>
          <c:order val="0"/>
          <c:tx>
            <c:strRef>
              <c:f>Rémunérations!$C$10</c:f>
              <c:strCache>
                <c:ptCount val="1"/>
                <c:pt idx="0">
                  <c:v>2022</c:v>
                </c:pt>
              </c:strCache>
            </c:strRef>
          </c:tx>
          <c:dPt>
            <c:idx val="1"/>
            <c:bubble3D val="0"/>
            <c:explosion val="4"/>
            <c:extLst>
              <c:ext xmlns:c16="http://schemas.microsoft.com/office/drawing/2014/chart" uri="{C3380CC4-5D6E-409C-BE32-E72D297353CC}">
                <c16:uniqueId val="{00000001-E035-4E6F-9126-EA2A0A19247C}"/>
              </c:ext>
            </c:extLst>
          </c:dPt>
          <c:dLbls>
            <c:dLbl>
              <c:idx val="0"/>
              <c:layout>
                <c:manualLayout>
                  <c:x val="-0.11978740411772258"/>
                  <c:y val="-4.1339952859344088E-2"/>
                </c:manualLayout>
              </c:layout>
              <c:numFmt formatCode="_(&quot;€&quot;* #,##0_);_(&quot;€&quot;* \(#,##0\);_(&quot;€&quot;* &quot;-&quot;_);_(@_)" sourceLinked="0"/>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35-4E6F-9126-EA2A0A19247C}"/>
                </c:ext>
              </c:extLst>
            </c:dLbl>
            <c:dLbl>
              <c:idx val="1"/>
              <c:numFmt formatCode="_(&quot;€&quot;* #,##0_);_(&quot;€&quot;* \(#,##0\);_(&quot;€&quot;* &quot;-&quot;_);_(@_)" sourceLinked="0"/>
              <c:spPr>
                <a:noFill/>
                <a:ln w="25400">
                  <a:noFill/>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6="http://schemas.microsoft.com/office/drawing/2014/chart" uri="{C3380CC4-5D6E-409C-BE32-E72D297353CC}">
                  <c16:uniqueId val="{00000001-E035-4E6F-9126-EA2A0A19247C}"/>
                </c:ext>
              </c:extLst>
            </c:dLbl>
            <c:numFmt formatCode="_(&quot;€&quot;* #,##0_);_(&quot;€&quot;* \(#,##0\);_(&quot;€&quot;* &quot;-&quot;_);_(@_)" sourceLinked="0"/>
            <c:spPr>
              <a:noFill/>
              <a:ln w="25400">
                <a:noFill/>
              </a:ln>
            </c:spPr>
            <c:txPr>
              <a:bodyPr/>
              <a:lstStyle/>
              <a:p>
                <a:pPr>
                  <a:defRPr sz="800" b="0"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Rémunérations!$B$11:$B$12</c:f>
              <c:strCache>
                <c:ptCount val="2"/>
                <c:pt idx="0">
                  <c:v>MS Etat</c:v>
                </c:pt>
                <c:pt idx="1">
                  <c:v>MS budget propre</c:v>
                </c:pt>
              </c:strCache>
            </c:strRef>
          </c:cat>
          <c:val>
            <c:numRef>
              <c:f>Rémunérations!$C$11:$C$12</c:f>
              <c:numCache>
                <c:formatCode>"€"#,##0_);\("€"#,##0\)</c:formatCode>
                <c:ptCount val="2"/>
                <c:pt idx="0">
                  <c:v>109033684</c:v>
                </c:pt>
                <c:pt idx="1">
                  <c:v>8701674</c:v>
                </c:pt>
              </c:numCache>
            </c:numRef>
          </c:val>
          <c:extLst>
            <c:ext xmlns:c16="http://schemas.microsoft.com/office/drawing/2014/chart" uri="{C3380CC4-5D6E-409C-BE32-E72D297353CC}">
              <c16:uniqueId val="{00000002-E035-4E6F-9126-EA2A0A19247C}"/>
            </c:ext>
          </c:extLst>
        </c:ser>
        <c:dLbls>
          <c:showLegendKey val="0"/>
          <c:showVal val="0"/>
          <c:showCatName val="0"/>
          <c:showSerName val="0"/>
          <c:showPercent val="0"/>
          <c:showBubbleSize val="0"/>
          <c:showLeaderLines val="1"/>
        </c:dLbls>
        <c:firstSliceAng val="0"/>
        <c:holeSize val="50"/>
      </c:doughnutChart>
      <c:spPr>
        <a:noFill/>
        <a:ln w="25400">
          <a:noFill/>
        </a:ln>
      </c:spPr>
    </c:plotArea>
    <c:legend>
      <c:legendPos val="r"/>
      <c:layout>
        <c:manualLayout>
          <c:xMode val="edge"/>
          <c:yMode val="edge"/>
          <c:x val="0.71926283483999398"/>
          <c:y val="0.37738436722242763"/>
          <c:w val="0.1860610206344743"/>
          <c:h val="0.13487884847116149"/>
        </c:manualLayout>
      </c:layout>
      <c:overlay val="0"/>
      <c:txPr>
        <a:bodyPr/>
        <a:lstStyle/>
        <a:p>
          <a:pPr>
            <a:defRPr sz="570" b="0" i="0" u="none" strike="noStrike" baseline="0">
              <a:solidFill>
                <a:srgbClr val="333399"/>
              </a:solidFill>
              <a:latin typeface="Calibri"/>
              <a:ea typeface="Calibri"/>
              <a:cs typeface="Calibri"/>
            </a:defRPr>
          </a:pPr>
          <a:endParaRPr lang="fr-FR"/>
        </a:p>
      </c:txPr>
    </c:legend>
    <c:plotVisOnly val="1"/>
    <c:dispBlanksAs val="zero"/>
    <c:showDLblsOverMax val="0"/>
  </c:chart>
  <c:spPr>
    <a:ln>
      <a:noFill/>
    </a:ln>
  </c:spPr>
  <c:txPr>
    <a:bodyPr/>
    <a:lstStyle/>
    <a:p>
      <a:pPr>
        <a:defRPr sz="1000" b="0" i="0" u="none" strike="noStrike" baseline="0">
          <a:solidFill>
            <a:srgbClr val="000000"/>
          </a:solidFill>
          <a:latin typeface="Georgia"/>
          <a:ea typeface="Georgia"/>
          <a:cs typeface="Georgia"/>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2"/>
          <c:order val="2"/>
          <c:tx>
            <c:strRef>
              <c:f>EffectifGlobal!$M$90</c:f>
              <c:strCache>
                <c:ptCount val="1"/>
                <c:pt idx="0">
                  <c:v>Total</c:v>
                </c:pt>
              </c:strCache>
            </c:strRef>
          </c:tx>
          <c:spPr>
            <a:solidFill>
              <a:srgbClr val="0082B0"/>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alibri" panose="020F0502020204030204" pitchFamily="34" charset="0"/>
                    <a:ea typeface="+mn-ea"/>
                    <a:cs typeface="+mn-cs"/>
                  </a:defRPr>
                </a:pPr>
                <a:endParaRPr lang="fr-FR"/>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EffectifGlobal!$J$91:$J$99</c:f>
              <c:strCache>
                <c:ptCount val="9"/>
                <c:pt idx="0">
                  <c:v>MAD</c:v>
                </c:pt>
                <c:pt idx="1">
                  <c:v>BU</c:v>
                </c:pt>
                <c:pt idx="2">
                  <c:v>Hospitalo-universitaires</c:v>
                </c:pt>
                <c:pt idx="3">
                  <c:v>AENES</c:v>
                </c:pt>
                <c:pt idx="4">
                  <c:v>2d degré</c:v>
                </c:pt>
                <c:pt idx="5">
                  <c:v>Cont. BIATSS</c:v>
                </c:pt>
                <c:pt idx="6">
                  <c:v>ITRF</c:v>
                </c:pt>
                <c:pt idx="7">
                  <c:v>Cont. enseignants</c:v>
                </c:pt>
                <c:pt idx="8">
                  <c:v>Enseignants chercheurs</c:v>
                </c:pt>
              </c:strCache>
            </c:strRef>
          </c:cat>
          <c:val>
            <c:numRef>
              <c:f>EffectifGlobal!$M$91:$M$99</c:f>
              <c:numCache>
                <c:formatCode>0%</c:formatCode>
                <c:ptCount val="9"/>
                <c:pt idx="0">
                  <c:v>1.9831730769230768E-2</c:v>
                </c:pt>
                <c:pt idx="1">
                  <c:v>2.4639423076923076E-2</c:v>
                </c:pt>
                <c:pt idx="2">
                  <c:v>5.4086538461538464E-2</c:v>
                </c:pt>
                <c:pt idx="3">
                  <c:v>5.2283653846153848E-2</c:v>
                </c:pt>
                <c:pt idx="4">
                  <c:v>9.7355769230769232E-2</c:v>
                </c:pt>
                <c:pt idx="5">
                  <c:v>0.140625</c:v>
                </c:pt>
                <c:pt idx="6">
                  <c:v>0.17548076923076922</c:v>
                </c:pt>
                <c:pt idx="7">
                  <c:v>0.19771634615384615</c:v>
                </c:pt>
                <c:pt idx="8">
                  <c:v>0.23798076923076922</c:v>
                </c:pt>
              </c:numCache>
            </c:numRef>
          </c:val>
          <c:extLst xmlns:c15="http://schemas.microsoft.com/office/drawing/2012/chart">
            <c:ext xmlns:c16="http://schemas.microsoft.com/office/drawing/2014/chart" uri="{C3380CC4-5D6E-409C-BE32-E72D297353CC}">
              <c16:uniqueId val="{00000000-4416-4CD0-906B-110618F86E0A}"/>
            </c:ext>
          </c:extLst>
        </c:ser>
        <c:dLbls>
          <c:showLegendKey val="0"/>
          <c:showVal val="1"/>
          <c:showCatName val="0"/>
          <c:showSerName val="0"/>
          <c:showPercent val="0"/>
          <c:showBubbleSize val="0"/>
        </c:dLbls>
        <c:gapWidth val="150"/>
        <c:shape val="box"/>
        <c:axId val="224293008"/>
        <c:axId val="224291048"/>
        <c:axId val="0"/>
        <c:extLst>
          <c:ext xmlns:c15="http://schemas.microsoft.com/office/drawing/2012/chart" uri="{02D57815-91ED-43cb-92C2-25804820EDAC}">
            <c15:filteredBarSeries>
              <c15:ser>
                <c:idx val="0"/>
                <c:order val="0"/>
                <c:tx>
                  <c:strRef>
                    <c:extLst>
                      <c:ext uri="{02D57815-91ED-43cb-92C2-25804820EDAC}">
                        <c15:formulaRef>
                          <c15:sqref>EffectifGlobal!$K$90</c15:sqref>
                        </c15:formulaRef>
                      </c:ext>
                    </c:extLst>
                    <c:strCache>
                      <c:ptCount val="1"/>
                      <c:pt idx="0">
                        <c:v>Femmes</c:v>
                      </c:pt>
                    </c:strCache>
                  </c:strRef>
                </c:tx>
                <c:spPr>
                  <a:solidFill>
                    <a:srgbClr val="7030A0"/>
                  </a:solidFill>
                  <a:ln>
                    <a:noFill/>
                  </a:ln>
                  <a:effectLst/>
                  <a:sp3d/>
                </c:spPr>
                <c:invertIfNegative val="0"/>
                <c:dLbls>
                  <c:delete val="1"/>
                </c:dLbls>
                <c:cat>
                  <c:strRef>
                    <c:extLst>
                      <c:ext uri="{02D57815-91ED-43cb-92C2-25804820EDAC}">
                        <c15:formulaRef>
                          <c15:sqref>EffectifGlobal!$J$91:$J$99</c15:sqref>
                        </c15:formulaRef>
                      </c:ext>
                    </c:extLst>
                    <c:strCache>
                      <c:ptCount val="9"/>
                      <c:pt idx="0">
                        <c:v>MAD</c:v>
                      </c:pt>
                      <c:pt idx="1">
                        <c:v>BU</c:v>
                      </c:pt>
                      <c:pt idx="2">
                        <c:v>Hospitalo-universitaires</c:v>
                      </c:pt>
                      <c:pt idx="3">
                        <c:v>AENES</c:v>
                      </c:pt>
                      <c:pt idx="4">
                        <c:v>2d degré</c:v>
                      </c:pt>
                      <c:pt idx="5">
                        <c:v>Cont. BIATSS</c:v>
                      </c:pt>
                      <c:pt idx="6">
                        <c:v>ITRF</c:v>
                      </c:pt>
                      <c:pt idx="7">
                        <c:v>Cont. enseignants</c:v>
                      </c:pt>
                      <c:pt idx="8">
                        <c:v>Enseignants chercheurs</c:v>
                      </c:pt>
                    </c:strCache>
                  </c:strRef>
                </c:cat>
                <c:val>
                  <c:numRef>
                    <c:extLst>
                      <c:ext uri="{02D57815-91ED-43cb-92C2-25804820EDAC}">
                        <c15:formulaRef>
                          <c15:sqref>EffectifGlobal!$K$91:$K$99</c15:sqref>
                        </c15:formulaRef>
                      </c:ext>
                    </c:extLst>
                    <c:numCache>
                      <c:formatCode>0%</c:formatCode>
                      <c:ptCount val="9"/>
                      <c:pt idx="0">
                        <c:v>9.0144230769230761E-3</c:v>
                      </c:pt>
                      <c:pt idx="1">
                        <c:v>1.5625E-2</c:v>
                      </c:pt>
                      <c:pt idx="2">
                        <c:v>1.3822115384615384E-2</c:v>
                      </c:pt>
                      <c:pt idx="3">
                        <c:v>4.5072115384615384E-2</c:v>
                      </c:pt>
                      <c:pt idx="4">
                        <c:v>3.8461538461538464E-2</c:v>
                      </c:pt>
                      <c:pt idx="5">
                        <c:v>9.7956730769230768E-2</c:v>
                      </c:pt>
                      <c:pt idx="6">
                        <c:v>0.11478365384615384</c:v>
                      </c:pt>
                      <c:pt idx="7">
                        <c:v>7.6923076923076927E-2</c:v>
                      </c:pt>
                      <c:pt idx="8">
                        <c:v>9.375E-2</c:v>
                      </c:pt>
                    </c:numCache>
                  </c:numRef>
                </c:val>
                <c:extLst>
                  <c:ext xmlns:c16="http://schemas.microsoft.com/office/drawing/2014/chart" uri="{C3380CC4-5D6E-409C-BE32-E72D297353CC}">
                    <c16:uniqueId val="{00000001-4416-4CD0-906B-110618F86E0A}"/>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EffectifGlobal!$L$90</c15:sqref>
                        </c15:formulaRef>
                      </c:ext>
                    </c:extLst>
                    <c:strCache>
                      <c:ptCount val="1"/>
                      <c:pt idx="0">
                        <c:v>Hommes</c:v>
                      </c:pt>
                    </c:strCache>
                  </c:strRef>
                </c:tx>
                <c:spPr>
                  <a:solidFill>
                    <a:srgbClr val="00B0F0"/>
                  </a:solidFill>
                  <a:ln>
                    <a:noFill/>
                  </a:ln>
                  <a:effectLst/>
                  <a:sp3d/>
                </c:spPr>
                <c:invertIfNegative val="0"/>
                <c:dLbls>
                  <c:delete val="1"/>
                </c:dLbls>
                <c:cat>
                  <c:strRef>
                    <c:extLst xmlns:c15="http://schemas.microsoft.com/office/drawing/2012/chart">
                      <c:ext xmlns:c15="http://schemas.microsoft.com/office/drawing/2012/chart" uri="{02D57815-91ED-43cb-92C2-25804820EDAC}">
                        <c15:formulaRef>
                          <c15:sqref>EffectifGlobal!$J$91:$J$99</c15:sqref>
                        </c15:formulaRef>
                      </c:ext>
                    </c:extLst>
                    <c:strCache>
                      <c:ptCount val="9"/>
                      <c:pt idx="0">
                        <c:v>MAD</c:v>
                      </c:pt>
                      <c:pt idx="1">
                        <c:v>BU</c:v>
                      </c:pt>
                      <c:pt idx="2">
                        <c:v>Hospitalo-universitaires</c:v>
                      </c:pt>
                      <c:pt idx="3">
                        <c:v>AENES</c:v>
                      </c:pt>
                      <c:pt idx="4">
                        <c:v>2d degré</c:v>
                      </c:pt>
                      <c:pt idx="5">
                        <c:v>Cont. BIATSS</c:v>
                      </c:pt>
                      <c:pt idx="6">
                        <c:v>ITRF</c:v>
                      </c:pt>
                      <c:pt idx="7">
                        <c:v>Cont. enseignants</c:v>
                      </c:pt>
                      <c:pt idx="8">
                        <c:v>Enseignants chercheurs</c:v>
                      </c:pt>
                    </c:strCache>
                  </c:strRef>
                </c:cat>
                <c:val>
                  <c:numRef>
                    <c:extLst xmlns:c15="http://schemas.microsoft.com/office/drawing/2012/chart">
                      <c:ext xmlns:c15="http://schemas.microsoft.com/office/drawing/2012/chart" uri="{02D57815-91ED-43cb-92C2-25804820EDAC}">
                        <c15:formulaRef>
                          <c15:sqref>EffectifGlobal!$L$91:$L$99</c15:sqref>
                        </c15:formulaRef>
                      </c:ext>
                    </c:extLst>
                    <c:numCache>
                      <c:formatCode>0%</c:formatCode>
                      <c:ptCount val="9"/>
                      <c:pt idx="0">
                        <c:v>1.0817307692307692E-2</c:v>
                      </c:pt>
                      <c:pt idx="1">
                        <c:v>9.0144230769230761E-3</c:v>
                      </c:pt>
                      <c:pt idx="2">
                        <c:v>4.026442307692308E-2</c:v>
                      </c:pt>
                      <c:pt idx="3">
                        <c:v>7.2115384615384619E-3</c:v>
                      </c:pt>
                      <c:pt idx="4">
                        <c:v>5.8894230769230768E-2</c:v>
                      </c:pt>
                      <c:pt idx="5">
                        <c:v>4.2668269230769232E-2</c:v>
                      </c:pt>
                      <c:pt idx="6">
                        <c:v>6.0697115384615384E-2</c:v>
                      </c:pt>
                      <c:pt idx="7">
                        <c:v>0.12079326923076923</c:v>
                      </c:pt>
                      <c:pt idx="8">
                        <c:v>0.14423076923076922</c:v>
                      </c:pt>
                    </c:numCache>
                  </c:numRef>
                </c:val>
                <c:extLst xmlns:c15="http://schemas.microsoft.com/office/drawing/2012/chart">
                  <c:ext xmlns:c16="http://schemas.microsoft.com/office/drawing/2014/chart" uri="{C3380CC4-5D6E-409C-BE32-E72D297353CC}">
                    <c16:uniqueId val="{00000002-4416-4CD0-906B-110618F86E0A}"/>
                  </c:ext>
                </c:extLst>
              </c15:ser>
            </c15:filteredBarSeries>
          </c:ext>
        </c:extLst>
      </c:bar3DChart>
      <c:catAx>
        <c:axId val="2242930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1048"/>
        <c:crosses val="autoZero"/>
        <c:auto val="1"/>
        <c:lblAlgn val="ctr"/>
        <c:lblOffset val="100"/>
        <c:noMultiLvlLbl val="0"/>
      </c:catAx>
      <c:valAx>
        <c:axId val="2242910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3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Calibri" panose="020F0502020204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Rémunérations!$G$15:$G$19</c:f>
              <c:strCache>
                <c:ptCount val="5"/>
                <c:pt idx="0">
                  <c:v>Primes Enseignants</c:v>
                </c:pt>
                <c:pt idx="1">
                  <c:v>Primes BIATSS</c:v>
                </c:pt>
                <c:pt idx="2">
                  <c:v>Heures comp</c:v>
                </c:pt>
                <c:pt idx="3">
                  <c:v>Rem. BIATSS</c:v>
                </c:pt>
                <c:pt idx="4">
                  <c:v>Rem. Enseignants</c:v>
                </c:pt>
              </c:strCache>
            </c:strRef>
          </c:cat>
          <c:val>
            <c:numRef>
              <c:f>Rémunérations!$H$15:$H$19</c:f>
              <c:numCache>
                <c:formatCode>0%</c:formatCode>
                <c:ptCount val="5"/>
                <c:pt idx="0">
                  <c:v>2.5839374947203942E-2</c:v>
                </c:pt>
                <c:pt idx="1">
                  <c:v>2.6491290147411275E-2</c:v>
                </c:pt>
                <c:pt idx="2">
                  <c:v>5.2650335523853509E-2</c:v>
                </c:pt>
                <c:pt idx="3">
                  <c:v>0.24684294099210616</c:v>
                </c:pt>
                <c:pt idx="4">
                  <c:v>0.64817605838942505</c:v>
                </c:pt>
              </c:numCache>
            </c:numRef>
          </c:val>
          <c:extLst>
            <c:ext xmlns:c16="http://schemas.microsoft.com/office/drawing/2014/chart" uri="{C3380CC4-5D6E-409C-BE32-E72D297353CC}">
              <c16:uniqueId val="{00000000-2A54-40A2-B372-EC4B6D4262B8}"/>
            </c:ext>
          </c:extLst>
        </c:ser>
        <c:dLbls>
          <c:showLegendKey val="0"/>
          <c:showVal val="0"/>
          <c:showCatName val="0"/>
          <c:showSerName val="0"/>
          <c:showPercent val="0"/>
          <c:showBubbleSize val="0"/>
        </c:dLbls>
        <c:gapWidth val="150"/>
        <c:shape val="box"/>
        <c:axId val="323315616"/>
        <c:axId val="323316008"/>
        <c:axId val="0"/>
      </c:bar3DChart>
      <c:catAx>
        <c:axId val="323315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Calibri" panose="020F0502020204030204" pitchFamily="34" charset="0"/>
                <a:ea typeface="+mn-ea"/>
                <a:cs typeface="+mn-cs"/>
              </a:defRPr>
            </a:pPr>
            <a:endParaRPr lang="fr-FR"/>
          </a:p>
        </c:txPr>
        <c:crossAx val="323316008"/>
        <c:crosses val="autoZero"/>
        <c:auto val="1"/>
        <c:lblAlgn val="ctr"/>
        <c:lblOffset val="100"/>
        <c:noMultiLvlLbl val="0"/>
      </c:catAx>
      <c:valAx>
        <c:axId val="32331600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23315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50000"/>
            </a:schemeClr>
          </a:solidFill>
          <a:latin typeface="Calibri" panose="020F0502020204030204" pitchFamily="34" charset="0"/>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TempsPartiel_télétravail!$A$23</c:f>
              <c:strCache>
                <c:ptCount val="1"/>
                <c:pt idx="0">
                  <c:v>Femmes</c:v>
                </c:pt>
              </c:strCache>
            </c:strRef>
          </c:tx>
          <c:spPr>
            <a:solidFill>
              <a:schemeClr val="accent3">
                <a:lumMod val="75000"/>
              </a:schemeClr>
            </a:solidFill>
          </c:spPr>
          <c:invertIfNegative val="0"/>
          <c:dLbls>
            <c:dLbl>
              <c:idx val="0"/>
              <c:layout>
                <c:manualLayout>
                  <c:x val="8.3333333333333367E-3"/>
                  <c:y val="7.004055790847856E-17"/>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7B-4E18-9E32-AD6589F48C36}"/>
                </c:ext>
              </c:extLst>
            </c:dLbl>
            <c:dLbl>
              <c:idx val="1"/>
              <c:layout>
                <c:manualLayout>
                  <c:x val="1.1111111111111117E-2"/>
                  <c:y val="0"/>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7B-4E18-9E32-AD6589F48C36}"/>
                </c:ext>
              </c:extLst>
            </c:dLbl>
            <c:dLbl>
              <c:idx val="2"/>
              <c:layout>
                <c:manualLayout>
                  <c:x val="8.333333333333387E-3"/>
                  <c:y val="0"/>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7B-4E18-9E32-AD6589F48C36}"/>
                </c:ext>
              </c:extLst>
            </c:dLbl>
            <c:dLbl>
              <c:idx val="3"/>
              <c:layout>
                <c:manualLayout>
                  <c:x val="8.3333333333333367E-3"/>
                  <c:y val="0"/>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7B-4E18-9E32-AD6589F48C36}"/>
                </c:ext>
              </c:extLst>
            </c:dLbl>
            <c:dLbl>
              <c:idx val="4"/>
              <c:layout>
                <c:manualLayout>
                  <c:x val="1.1111111111111117E-2"/>
                  <c:y val="0"/>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7B-4E18-9E32-AD6589F48C3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TempsPartiel_télétravail!$B$22:$F$22</c:f>
              <c:numCache>
                <c:formatCode>0%</c:formatCode>
                <c:ptCount val="5"/>
                <c:pt idx="0">
                  <c:v>0.5</c:v>
                </c:pt>
                <c:pt idx="1">
                  <c:v>0.6</c:v>
                </c:pt>
                <c:pt idx="2">
                  <c:v>0.7</c:v>
                </c:pt>
                <c:pt idx="3">
                  <c:v>0.8</c:v>
                </c:pt>
                <c:pt idx="4">
                  <c:v>0.9</c:v>
                </c:pt>
              </c:numCache>
            </c:numRef>
          </c:cat>
          <c:val>
            <c:numRef>
              <c:f>TempsPartiel_télétravail!$B$23:$F$23</c:f>
              <c:numCache>
                <c:formatCode>General</c:formatCode>
                <c:ptCount val="5"/>
                <c:pt idx="0">
                  <c:v>4</c:v>
                </c:pt>
                <c:pt idx="1">
                  <c:v>2</c:v>
                </c:pt>
                <c:pt idx="2">
                  <c:v>3</c:v>
                </c:pt>
                <c:pt idx="3">
                  <c:v>49</c:v>
                </c:pt>
                <c:pt idx="4">
                  <c:v>5</c:v>
                </c:pt>
              </c:numCache>
            </c:numRef>
          </c:val>
          <c:extLst>
            <c:ext xmlns:c16="http://schemas.microsoft.com/office/drawing/2014/chart" uri="{C3380CC4-5D6E-409C-BE32-E72D297353CC}">
              <c16:uniqueId val="{00000005-E67B-4E18-9E32-AD6589F48C36}"/>
            </c:ext>
          </c:extLst>
        </c:ser>
        <c:ser>
          <c:idx val="1"/>
          <c:order val="1"/>
          <c:tx>
            <c:strRef>
              <c:f>TempsPartiel_télétravail!$A$24</c:f>
              <c:strCache>
                <c:ptCount val="1"/>
                <c:pt idx="0">
                  <c:v>Hommes</c:v>
                </c:pt>
              </c:strCache>
            </c:strRef>
          </c:tx>
          <c:spPr>
            <a:solidFill>
              <a:srgbClr val="0070C0"/>
            </a:solidFill>
          </c:spPr>
          <c:invertIfNegative val="0"/>
          <c:dLbls>
            <c:spPr>
              <a:noFill/>
              <a:ln>
                <a:noFill/>
              </a:ln>
              <a:effectLst/>
            </c:spPr>
            <c:txPr>
              <a:bodyPr wrap="square" lIns="38100" tIns="19050" rIns="38100" bIns="19050" anchor="ctr">
                <a:spAutoFit/>
              </a:bodyPr>
              <a:lstStyle/>
              <a:p>
                <a:pPr>
                  <a:defRPr>
                    <a:solidFill>
                      <a:schemeClr val="tx1">
                        <a:lumMod val="95000"/>
                        <a:lumOff val="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TempsPartiel_télétravail!$B$22:$F$22</c:f>
              <c:numCache>
                <c:formatCode>0%</c:formatCode>
                <c:ptCount val="5"/>
                <c:pt idx="0">
                  <c:v>0.5</c:v>
                </c:pt>
                <c:pt idx="1">
                  <c:v>0.6</c:v>
                </c:pt>
                <c:pt idx="2">
                  <c:v>0.7</c:v>
                </c:pt>
                <c:pt idx="3">
                  <c:v>0.8</c:v>
                </c:pt>
                <c:pt idx="4">
                  <c:v>0.9</c:v>
                </c:pt>
              </c:numCache>
            </c:numRef>
          </c:cat>
          <c:val>
            <c:numRef>
              <c:f>TempsPartiel_télétravail!$B$24:$F$24</c:f>
              <c:numCache>
                <c:formatCode>General</c:formatCode>
                <c:ptCount val="5"/>
                <c:pt idx="0">
                  <c:v>3</c:v>
                </c:pt>
                <c:pt idx="2">
                  <c:v>1</c:v>
                </c:pt>
                <c:pt idx="3">
                  <c:v>12</c:v>
                </c:pt>
              </c:numCache>
            </c:numRef>
          </c:val>
          <c:extLst>
            <c:ext xmlns:c16="http://schemas.microsoft.com/office/drawing/2014/chart" uri="{C3380CC4-5D6E-409C-BE32-E72D297353CC}">
              <c16:uniqueId val="{00000000-543C-42E8-90F1-73D3D749CD21}"/>
            </c:ext>
          </c:extLst>
        </c:ser>
        <c:dLbls>
          <c:showLegendKey val="0"/>
          <c:showVal val="0"/>
          <c:showCatName val="0"/>
          <c:showSerName val="0"/>
          <c:showPercent val="0"/>
          <c:showBubbleSize val="0"/>
        </c:dLbls>
        <c:gapWidth val="150"/>
        <c:shape val="cylinder"/>
        <c:axId val="323318360"/>
        <c:axId val="323318752"/>
        <c:axId val="0"/>
        <c:extLst>
          <c:ext xmlns:c15="http://schemas.microsoft.com/office/drawing/2012/chart" uri="{02D57815-91ED-43cb-92C2-25804820EDAC}">
            <c15:filteredBarSeries>
              <c15:ser>
                <c:idx val="2"/>
                <c:order val="2"/>
                <c:tx>
                  <c:strRef>
                    <c:extLst>
                      <c:ext uri="{02D57815-91ED-43cb-92C2-25804820EDAC}">
                        <c15:formulaRef>
                          <c15:sqref>TempsPartiel_télétravail!$A$25</c15:sqref>
                        </c15:formulaRef>
                      </c:ext>
                    </c:extLst>
                    <c:strCache>
                      <c:ptCount val="1"/>
                      <c:pt idx="0">
                        <c:v>Total</c:v>
                      </c:pt>
                    </c:strCache>
                  </c:strRef>
                </c:tx>
                <c:invertIfNegative val="0"/>
                <c:cat>
                  <c:numRef>
                    <c:extLst>
                      <c:ext uri="{02D57815-91ED-43cb-92C2-25804820EDAC}">
                        <c15:formulaRef>
                          <c15:sqref>TempsPartiel_télétravail!$B$22:$F$22</c15:sqref>
                        </c15:formulaRef>
                      </c:ext>
                    </c:extLst>
                    <c:numCache>
                      <c:formatCode>0%</c:formatCode>
                      <c:ptCount val="5"/>
                      <c:pt idx="0">
                        <c:v>0.5</c:v>
                      </c:pt>
                      <c:pt idx="1">
                        <c:v>0.6</c:v>
                      </c:pt>
                      <c:pt idx="2">
                        <c:v>0.7</c:v>
                      </c:pt>
                      <c:pt idx="3">
                        <c:v>0.8</c:v>
                      </c:pt>
                      <c:pt idx="4">
                        <c:v>0.9</c:v>
                      </c:pt>
                    </c:numCache>
                  </c:numRef>
                </c:cat>
                <c:val>
                  <c:numRef>
                    <c:extLst>
                      <c:ext uri="{02D57815-91ED-43cb-92C2-25804820EDAC}">
                        <c15:formulaRef>
                          <c15:sqref>TempsPartiel_télétravail!$B$25:$F$25</c15:sqref>
                        </c15:formulaRef>
                      </c:ext>
                    </c:extLst>
                    <c:numCache>
                      <c:formatCode>General</c:formatCode>
                      <c:ptCount val="5"/>
                      <c:pt idx="0">
                        <c:v>7</c:v>
                      </c:pt>
                      <c:pt idx="1">
                        <c:v>2</c:v>
                      </c:pt>
                      <c:pt idx="2">
                        <c:v>4</c:v>
                      </c:pt>
                      <c:pt idx="3">
                        <c:v>61</c:v>
                      </c:pt>
                      <c:pt idx="4">
                        <c:v>5</c:v>
                      </c:pt>
                    </c:numCache>
                  </c:numRef>
                </c:val>
                <c:extLst>
                  <c:ext xmlns:c16="http://schemas.microsoft.com/office/drawing/2014/chart" uri="{C3380CC4-5D6E-409C-BE32-E72D297353CC}">
                    <c16:uniqueId val="{00000001-543C-42E8-90F1-73D3D749CD21}"/>
                  </c:ext>
                </c:extLst>
              </c15:ser>
            </c15:filteredBarSeries>
          </c:ext>
        </c:extLst>
      </c:bar3DChart>
      <c:catAx>
        <c:axId val="323318360"/>
        <c:scaling>
          <c:orientation val="minMax"/>
        </c:scaling>
        <c:delete val="0"/>
        <c:axPos val="b"/>
        <c:numFmt formatCode="0%" sourceLinked="1"/>
        <c:majorTickMark val="out"/>
        <c:minorTickMark val="none"/>
        <c:tickLblPos val="nextTo"/>
        <c:txPr>
          <a:bodyPr rot="0" vert="horz"/>
          <a:lstStyle/>
          <a:p>
            <a:pPr>
              <a:defRPr/>
            </a:pPr>
            <a:endParaRPr lang="fr-FR"/>
          </a:p>
        </c:txPr>
        <c:crossAx val="323318752"/>
        <c:crosses val="autoZero"/>
        <c:auto val="1"/>
        <c:lblAlgn val="ctr"/>
        <c:lblOffset val="100"/>
        <c:noMultiLvlLbl val="0"/>
      </c:catAx>
      <c:valAx>
        <c:axId val="323318752"/>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323318360"/>
        <c:crosses val="autoZero"/>
        <c:crossBetween val="between"/>
      </c:valAx>
      <c:spPr>
        <a:noFill/>
        <a:ln w="25400">
          <a:noFill/>
        </a:ln>
      </c:spPr>
    </c:plotArea>
    <c:legend>
      <c:legendPos val="b"/>
      <c:overlay val="0"/>
    </c:legend>
    <c:plotVisOnly val="1"/>
    <c:dispBlanksAs val="gap"/>
    <c:showDLblsOverMax val="0"/>
  </c:chart>
  <c:spPr>
    <a:ln>
      <a:noFill/>
    </a:ln>
  </c:spPr>
  <c:txPr>
    <a:bodyPr/>
    <a:lstStyle/>
    <a:p>
      <a:pPr>
        <a:defRPr sz="900" b="0" i="0" u="none" strike="noStrike" baseline="0">
          <a:solidFill>
            <a:schemeClr val="accent1">
              <a:lumMod val="75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Epargne en nombre de jours  par catégorie de personnel </a:t>
            </a:r>
          </a:p>
        </c:rich>
      </c:tx>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6.8005488193896471E-2"/>
          <c:y val="0.10081019021873198"/>
          <c:w val="0.82247901488397523"/>
          <c:h val="0.80013529361675084"/>
        </c:manualLayout>
      </c:layout>
      <c:bar3DChart>
        <c:barDir val="col"/>
        <c:grouping val="clustered"/>
        <c:varyColors val="0"/>
        <c:ser>
          <c:idx val="0"/>
          <c:order val="0"/>
          <c:tx>
            <c:strRef>
              <c:f>CET!$C$19:$C$20</c:f>
              <c:strCache>
                <c:ptCount val="2"/>
                <c:pt idx="1">
                  <c:v>2018</c:v>
                </c:pt>
              </c:strCache>
            </c:strRef>
          </c:tx>
          <c:invertIfNegative val="0"/>
          <c:dLbls>
            <c:dLbl>
              <c:idx val="0"/>
              <c:layout>
                <c:manualLayout>
                  <c:x val="8.492569002123149E-3"/>
                  <c:y val="0.12603648424543959"/>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EF-4DD4-8CD2-DC7A5B06185D}"/>
                </c:ext>
              </c:extLst>
            </c:dLbl>
            <c:dLbl>
              <c:idx val="1"/>
              <c:layout>
                <c:manualLayout>
                  <c:x val="5.8856035083713707E-3"/>
                  <c:y val="7.2332382282310481E-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EF-4DD4-8CD2-DC7A5B06185D}"/>
                </c:ext>
              </c:extLst>
            </c:dLbl>
            <c:dLbl>
              <c:idx val="2"/>
              <c:layout>
                <c:manualLayout>
                  <c:x val="5.8930667322770981E-3"/>
                  <c:y val="0.10395363708578981"/>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EF-4DD4-8CD2-DC7A5B06185D}"/>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CET!$B$21:$B$24</c15:sqref>
                  </c15:fullRef>
                </c:ext>
              </c:extLst>
              <c:f>CET!$B$21:$B$23</c:f>
              <c:strCache>
                <c:ptCount val="3"/>
                <c:pt idx="0">
                  <c:v>Cat. A</c:v>
                </c:pt>
                <c:pt idx="1">
                  <c:v>Cat B</c:v>
                </c:pt>
                <c:pt idx="2">
                  <c:v>Cat. C</c:v>
                </c:pt>
              </c:strCache>
            </c:strRef>
          </c:cat>
          <c:val>
            <c:numRef>
              <c:extLst>
                <c:ext xmlns:c15="http://schemas.microsoft.com/office/drawing/2012/chart" uri="{02D57815-91ED-43cb-92C2-25804820EDAC}">
                  <c15:fullRef>
                    <c15:sqref>CET!$C$21:$C$24</c15:sqref>
                  </c15:fullRef>
                </c:ext>
              </c:extLst>
              <c:f>CET!$C$21:$C$23</c:f>
              <c:numCache>
                <c:formatCode>General</c:formatCode>
                <c:ptCount val="3"/>
                <c:pt idx="0">
                  <c:v>171</c:v>
                </c:pt>
                <c:pt idx="1">
                  <c:v>115</c:v>
                </c:pt>
                <c:pt idx="2">
                  <c:v>73</c:v>
                </c:pt>
              </c:numCache>
            </c:numRef>
          </c:val>
          <c:extLst>
            <c:ext xmlns:c16="http://schemas.microsoft.com/office/drawing/2014/chart" uri="{C3380CC4-5D6E-409C-BE32-E72D297353CC}">
              <c16:uniqueId val="{00000003-35EF-4DD4-8CD2-DC7A5B06185D}"/>
            </c:ext>
          </c:extLst>
        </c:ser>
        <c:ser>
          <c:idx val="1"/>
          <c:order val="1"/>
          <c:tx>
            <c:strRef>
              <c:f>CET!$D$19:$D$20</c:f>
              <c:strCache>
                <c:ptCount val="2"/>
                <c:pt idx="1">
                  <c:v>2019</c:v>
                </c:pt>
              </c:strCache>
            </c:strRef>
          </c:tx>
          <c:invertIfNegative val="0"/>
          <c:dLbls>
            <c:dLbl>
              <c:idx val="0"/>
              <c:layout>
                <c:manualLayout>
                  <c:x val="5.661712668082095E-3"/>
                  <c:y val="0.1127694859038142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5EF-4DD4-8CD2-DC7A5B06185D}"/>
                </c:ext>
              </c:extLst>
            </c:dLbl>
            <c:dLbl>
              <c:idx val="1"/>
              <c:layout>
                <c:manualLayout>
                  <c:x val="5.6616500545616164E-3"/>
                  <c:y val="0.10217262836904661"/>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5EF-4DD4-8CD2-DC7A5B06185D}"/>
                </c:ext>
              </c:extLst>
            </c:dLbl>
            <c:dLbl>
              <c:idx val="2"/>
              <c:layout>
                <c:manualLayout>
                  <c:x val="8.492569002123149E-3"/>
                  <c:y val="0.11276948590381426"/>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EF-4DD4-8CD2-DC7A5B06185D}"/>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CET!$B$21:$B$24</c15:sqref>
                  </c15:fullRef>
                </c:ext>
              </c:extLst>
              <c:f>CET!$B$21:$B$23</c:f>
              <c:strCache>
                <c:ptCount val="3"/>
                <c:pt idx="0">
                  <c:v>Cat. A</c:v>
                </c:pt>
                <c:pt idx="1">
                  <c:v>Cat B</c:v>
                </c:pt>
                <c:pt idx="2">
                  <c:v>Cat. C</c:v>
                </c:pt>
              </c:strCache>
            </c:strRef>
          </c:cat>
          <c:val>
            <c:numRef>
              <c:extLst>
                <c:ext xmlns:c15="http://schemas.microsoft.com/office/drawing/2012/chart" uri="{02D57815-91ED-43cb-92C2-25804820EDAC}">
                  <c15:fullRef>
                    <c15:sqref>CET!$D$21:$D$24</c15:sqref>
                  </c15:fullRef>
                </c:ext>
              </c:extLst>
              <c:f>CET!$D$21:$D$23</c:f>
              <c:numCache>
                <c:formatCode>General</c:formatCode>
                <c:ptCount val="3"/>
                <c:pt idx="0">
                  <c:v>306</c:v>
                </c:pt>
                <c:pt idx="1">
                  <c:v>182</c:v>
                </c:pt>
                <c:pt idx="2">
                  <c:v>130</c:v>
                </c:pt>
              </c:numCache>
            </c:numRef>
          </c:val>
          <c:extLst>
            <c:ext xmlns:c16="http://schemas.microsoft.com/office/drawing/2014/chart" uri="{C3380CC4-5D6E-409C-BE32-E72D297353CC}">
              <c16:uniqueId val="{00000007-35EF-4DD4-8CD2-DC7A5B06185D}"/>
            </c:ext>
          </c:extLst>
        </c:ser>
        <c:ser>
          <c:idx val="2"/>
          <c:order val="2"/>
          <c:tx>
            <c:strRef>
              <c:f>CET!$E$19:$E$20</c:f>
              <c:strCache>
                <c:ptCount val="2"/>
                <c:pt idx="1">
                  <c:v>2020</c:v>
                </c:pt>
              </c:strCache>
            </c:strRef>
          </c:tx>
          <c:invertIfNegative val="0"/>
          <c:dLbls>
            <c:dLbl>
              <c:idx val="0"/>
              <c:layout>
                <c:manualLayout>
                  <c:x val="5.661712668082095E-3"/>
                  <c:y val="0.11276948590381426"/>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5EF-4DD4-8CD2-DC7A5B06185D}"/>
                </c:ext>
              </c:extLst>
            </c:dLbl>
            <c:dLbl>
              <c:idx val="1"/>
              <c:layout>
                <c:manualLayout>
                  <c:x val="8.492569002123149E-3"/>
                  <c:y val="0.11276948590381426"/>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EF-4DD4-8CD2-DC7A5B06185D}"/>
                </c:ext>
              </c:extLst>
            </c:dLbl>
            <c:dLbl>
              <c:idx val="2"/>
              <c:layout>
                <c:manualLayout>
                  <c:x val="5.0661514574011244E-3"/>
                  <c:y val="9.0897794845612875E-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5EF-4DD4-8CD2-DC7A5B06185D}"/>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CET!$B$21:$B$24</c15:sqref>
                  </c15:fullRef>
                </c:ext>
              </c:extLst>
              <c:f>CET!$B$21:$B$23</c:f>
              <c:strCache>
                <c:ptCount val="3"/>
                <c:pt idx="0">
                  <c:v>Cat. A</c:v>
                </c:pt>
                <c:pt idx="1">
                  <c:v>Cat B</c:v>
                </c:pt>
                <c:pt idx="2">
                  <c:v>Cat. C</c:v>
                </c:pt>
              </c:strCache>
            </c:strRef>
          </c:cat>
          <c:val>
            <c:numRef>
              <c:extLst>
                <c:ext xmlns:c15="http://schemas.microsoft.com/office/drawing/2012/chart" uri="{02D57815-91ED-43cb-92C2-25804820EDAC}">
                  <c15:fullRef>
                    <c15:sqref>CET!$E$21:$E$24</c15:sqref>
                  </c15:fullRef>
                </c:ext>
              </c:extLst>
              <c:f>CET!$E$21:$E$23</c:f>
              <c:numCache>
                <c:formatCode>General</c:formatCode>
                <c:ptCount val="3"/>
                <c:pt idx="0">
                  <c:v>507</c:v>
                </c:pt>
                <c:pt idx="1">
                  <c:v>309</c:v>
                </c:pt>
                <c:pt idx="2">
                  <c:v>309</c:v>
                </c:pt>
              </c:numCache>
            </c:numRef>
          </c:val>
          <c:extLst>
            <c:ext xmlns:c16="http://schemas.microsoft.com/office/drawing/2014/chart" uri="{C3380CC4-5D6E-409C-BE32-E72D297353CC}">
              <c16:uniqueId val="{0000000B-35EF-4DD4-8CD2-DC7A5B06185D}"/>
            </c:ext>
          </c:extLst>
        </c:ser>
        <c:ser>
          <c:idx val="3"/>
          <c:order val="3"/>
          <c:tx>
            <c:strRef>
              <c:f>CET!$F$19:$F$20</c:f>
              <c:strCache>
                <c:ptCount val="2"/>
                <c:pt idx="1">
                  <c:v>2021</c:v>
                </c:pt>
              </c:strCache>
            </c:strRef>
          </c:tx>
          <c:invertIfNegative val="0"/>
          <c:dLbls>
            <c:dLbl>
              <c:idx val="0"/>
              <c:layout>
                <c:manualLayout>
                  <c:x val="6.058770069675856E-3"/>
                  <c:y val="0.1200000000000000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5EF-4DD4-8CD2-DC7A5B06185D}"/>
                </c:ext>
              </c:extLst>
            </c:dLbl>
            <c:dLbl>
              <c:idx val="1"/>
              <c:layout>
                <c:manualLayout>
                  <c:x val="6.058770069675856E-3"/>
                  <c:y val="0.1200000000000000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EF-4DD4-8CD2-DC7A5B06185D}"/>
                </c:ext>
              </c:extLst>
            </c:dLbl>
            <c:dLbl>
              <c:idx val="2"/>
              <c:layout>
                <c:manualLayout>
                  <c:x val="6.058770069675856E-3"/>
                  <c:y val="0.1"/>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5EF-4DD4-8CD2-DC7A5B06185D}"/>
                </c:ext>
              </c:extLst>
            </c:dLbl>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CET!$B$21:$B$24</c15:sqref>
                  </c15:fullRef>
                </c:ext>
              </c:extLst>
              <c:f>CET!$B$21:$B$23</c:f>
              <c:strCache>
                <c:ptCount val="3"/>
                <c:pt idx="0">
                  <c:v>Cat. A</c:v>
                </c:pt>
                <c:pt idx="1">
                  <c:v>Cat B</c:v>
                </c:pt>
                <c:pt idx="2">
                  <c:v>Cat. C</c:v>
                </c:pt>
              </c:strCache>
            </c:strRef>
          </c:cat>
          <c:val>
            <c:numRef>
              <c:extLst>
                <c:ext xmlns:c15="http://schemas.microsoft.com/office/drawing/2012/chart" uri="{02D57815-91ED-43cb-92C2-25804820EDAC}">
                  <c15:fullRef>
                    <c15:sqref>CET!$F$21:$F$24</c15:sqref>
                  </c15:fullRef>
                </c:ext>
              </c:extLst>
              <c:f>CET!$F$21:$F$23</c:f>
              <c:numCache>
                <c:formatCode>General</c:formatCode>
                <c:ptCount val="3"/>
                <c:pt idx="0">
                  <c:v>386</c:v>
                </c:pt>
                <c:pt idx="1">
                  <c:v>339</c:v>
                </c:pt>
                <c:pt idx="2">
                  <c:v>361</c:v>
                </c:pt>
              </c:numCache>
            </c:numRef>
          </c:val>
          <c:extLst>
            <c:ext xmlns:c16="http://schemas.microsoft.com/office/drawing/2014/chart" uri="{C3380CC4-5D6E-409C-BE32-E72D297353CC}">
              <c16:uniqueId val="{0000000F-35EF-4DD4-8CD2-DC7A5B06185D}"/>
            </c:ext>
          </c:extLst>
        </c:ser>
        <c:ser>
          <c:idx val="4"/>
          <c:order val="4"/>
          <c:tx>
            <c:strRef>
              <c:f>CET!$G$19:$G$20</c:f>
              <c:strCache>
                <c:ptCount val="2"/>
                <c:pt idx="1">
                  <c:v>2022</c:v>
                </c:pt>
              </c:strCache>
            </c:strRef>
          </c:tx>
          <c:invertIfNegative val="0"/>
          <c:dLbls>
            <c:dLbl>
              <c:idx val="0"/>
              <c:layout>
                <c:manualLayout>
                  <c:x val="2.6409613099168112E-3"/>
                  <c:y val="8.168822328114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BC-4933-B100-DABC27BCEB70}"/>
                </c:ext>
              </c:extLst>
            </c:dLbl>
            <c:dLbl>
              <c:idx val="1"/>
              <c:layout>
                <c:manualLayout>
                  <c:x val="7.3859081922906574E-3"/>
                  <c:y val="8.59490885105279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BC-4933-B100-DABC27BCEB70}"/>
                </c:ext>
              </c:extLst>
            </c:dLbl>
            <c:dLbl>
              <c:idx val="2"/>
              <c:layout>
                <c:manualLayout>
                  <c:x val="5.2819200297691193E-3"/>
                  <c:y val="9.27561478452648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BC-4933-B100-DABC27BCEB70}"/>
                </c:ext>
              </c:extLst>
            </c:dLbl>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CET!$B$21:$B$24</c15:sqref>
                  </c15:fullRef>
                </c:ext>
              </c:extLst>
              <c:f>CET!$B$21:$B$23</c:f>
              <c:strCache>
                <c:ptCount val="3"/>
                <c:pt idx="0">
                  <c:v>Cat. A</c:v>
                </c:pt>
                <c:pt idx="1">
                  <c:v>Cat B</c:v>
                </c:pt>
                <c:pt idx="2">
                  <c:v>Cat. C</c:v>
                </c:pt>
              </c:strCache>
            </c:strRef>
          </c:cat>
          <c:val>
            <c:numRef>
              <c:extLst>
                <c:ext xmlns:c15="http://schemas.microsoft.com/office/drawing/2012/chart" uri="{02D57815-91ED-43cb-92C2-25804820EDAC}">
                  <c15:fullRef>
                    <c15:sqref>CET!$G$21:$G$24</c15:sqref>
                  </c15:fullRef>
                </c:ext>
              </c:extLst>
              <c:f>CET!$G$21:$G$23</c:f>
              <c:numCache>
                <c:formatCode>General</c:formatCode>
                <c:ptCount val="3"/>
                <c:pt idx="0">
                  <c:v>293</c:v>
                </c:pt>
                <c:pt idx="1">
                  <c:v>323</c:v>
                </c:pt>
                <c:pt idx="2">
                  <c:v>273</c:v>
                </c:pt>
              </c:numCache>
            </c:numRef>
          </c:val>
          <c:extLst>
            <c:ext xmlns:c16="http://schemas.microsoft.com/office/drawing/2014/chart" uri="{C3380CC4-5D6E-409C-BE32-E72D297353CC}">
              <c16:uniqueId val="{00000000-9ABC-4933-B100-DABC27BCEB70}"/>
            </c:ext>
          </c:extLst>
        </c:ser>
        <c:dLbls>
          <c:showLegendKey val="0"/>
          <c:showVal val="0"/>
          <c:showCatName val="0"/>
          <c:showSerName val="0"/>
          <c:showPercent val="0"/>
          <c:showBubbleSize val="0"/>
        </c:dLbls>
        <c:gapWidth val="150"/>
        <c:shape val="cylinder"/>
        <c:axId val="322759064"/>
        <c:axId val="322759456"/>
        <c:axId val="0"/>
      </c:bar3DChart>
      <c:catAx>
        <c:axId val="322759064"/>
        <c:scaling>
          <c:orientation val="minMax"/>
        </c:scaling>
        <c:delete val="0"/>
        <c:axPos val="b"/>
        <c:numFmt formatCode="General" sourceLinked="1"/>
        <c:majorTickMark val="none"/>
        <c:minorTickMark val="none"/>
        <c:tickLblPos val="nextTo"/>
        <c:txPr>
          <a:bodyPr rot="0" vert="horz"/>
          <a:lstStyle/>
          <a:p>
            <a:pPr>
              <a:defRPr/>
            </a:pPr>
            <a:endParaRPr lang="fr-FR"/>
          </a:p>
        </c:txPr>
        <c:crossAx val="322759456"/>
        <c:crosses val="autoZero"/>
        <c:auto val="1"/>
        <c:lblAlgn val="ctr"/>
        <c:lblOffset val="100"/>
        <c:noMultiLvlLbl val="0"/>
      </c:catAx>
      <c:valAx>
        <c:axId val="322759456"/>
        <c:scaling>
          <c:orientation val="minMax"/>
        </c:scaling>
        <c:delete val="0"/>
        <c:axPos val="l"/>
        <c:majorGridlines/>
        <c:numFmt formatCode="General" sourceLinked="1"/>
        <c:majorTickMark val="none"/>
        <c:minorTickMark val="none"/>
        <c:tickLblPos val="nextTo"/>
        <c:txPr>
          <a:bodyPr rot="0" vert="horz"/>
          <a:lstStyle/>
          <a:p>
            <a:pPr>
              <a:defRPr/>
            </a:pPr>
            <a:endParaRPr lang="fr-FR"/>
          </a:p>
        </c:txPr>
        <c:crossAx val="322759064"/>
        <c:crosses val="autoZero"/>
        <c:crossBetween val="between"/>
      </c:valAx>
      <c:spPr>
        <a:noFill/>
        <a:ln w="25400">
          <a:noFill/>
        </a:ln>
      </c:spPr>
    </c:plotArea>
    <c:legend>
      <c:legendPos val="r"/>
      <c:layout>
        <c:manualLayout>
          <c:xMode val="edge"/>
          <c:yMode val="edge"/>
          <c:x val="0.88767551597033989"/>
          <c:y val="0.37521509776165635"/>
          <c:w val="8.1892675075459748E-2"/>
          <c:h val="0.53326490247262293"/>
        </c:manualLayout>
      </c:layout>
      <c:overlay val="0"/>
    </c:legend>
    <c:plotVisOnly val="1"/>
    <c:dispBlanksAs val="gap"/>
    <c:showDLblsOverMax val="0"/>
  </c:chart>
  <c:spPr>
    <a:ln>
      <a:solidFill>
        <a:schemeClr val="bg1">
          <a:lumMod val="50000"/>
        </a:schemeClr>
      </a:solidFill>
    </a:ln>
  </c:spPr>
  <c:txPr>
    <a:bodyPr/>
    <a:lstStyle/>
    <a:p>
      <a:pPr>
        <a:defRPr sz="800" b="0" i="0" u="none" strike="noStrike" baseline="0">
          <a:solidFill>
            <a:schemeClr val="accent1">
              <a:lumMod val="75000"/>
            </a:schemeClr>
          </a:solidFill>
          <a:latin typeface="Calibri"/>
          <a:ea typeface="Calibri"/>
          <a:cs typeface="Calibri"/>
        </a:defRPr>
      </a:pPr>
      <a:endParaRPr lang="fr-FR"/>
    </a:p>
  </c:txPr>
  <c:printSettings>
    <c:headerFooter/>
    <c:pageMargins b="0.75000000000000044" l="0.7000000000000004" r="0.7000000000000004" t="0.75000000000000044" header="0.30000000000000021" footer="0.3000000000000002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Epargne par genre : nb d'agents féminins et masculins ayant épargné</a:t>
            </a:r>
          </a:p>
        </c:rich>
      </c:tx>
      <c:overlay val="1"/>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6.236643986380689E-2"/>
          <c:y val="0.24750499001996018"/>
          <c:w val="0.77429674130523551"/>
          <c:h val="0.58210193785657049"/>
        </c:manualLayout>
      </c:layout>
      <c:bar3DChart>
        <c:barDir val="col"/>
        <c:grouping val="clustered"/>
        <c:varyColors val="0"/>
        <c:ser>
          <c:idx val="0"/>
          <c:order val="0"/>
          <c:tx>
            <c:strRef>
              <c:f>CET!$L$33</c:f>
              <c:strCache>
                <c:ptCount val="1"/>
                <c:pt idx="0">
                  <c:v>Femmes</c:v>
                </c:pt>
              </c:strCache>
            </c:strRef>
          </c:tx>
          <c:invertIfNegative val="0"/>
          <c:dLbls>
            <c:dLbl>
              <c:idx val="0"/>
              <c:layout>
                <c:manualLayout>
                  <c:x val="8.6258394266504126E-3"/>
                  <c:y val="0.12240295669337871"/>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46-4B08-86CB-ABA90ED19A20}"/>
                </c:ext>
              </c:extLst>
            </c:dLbl>
            <c:dLbl>
              <c:idx val="1"/>
              <c:layout>
                <c:manualLayout>
                  <c:x val="6.066243157614698E-3"/>
                  <c:y val="0.12392498951482959"/>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46-4B08-86CB-ABA90ED19A20}"/>
                </c:ext>
              </c:extLst>
            </c:dLbl>
            <c:dLbl>
              <c:idx val="2"/>
              <c:layout>
                <c:manualLayout>
                  <c:x val="1.1501013583421515E-2"/>
                  <c:y val="0.13354760331846319"/>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46-4B08-86CB-ABA90ED19A20}"/>
                </c:ext>
              </c:extLst>
            </c:dLbl>
            <c:dLbl>
              <c:idx val="3"/>
              <c:layout>
                <c:manualLayout>
                  <c:x val="3.0376670716889447E-3"/>
                  <c:y val="0.134340890008396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46-4B08-86CB-ABA90ED19A20}"/>
                </c:ext>
              </c:extLst>
            </c:dLbl>
            <c:dLbl>
              <c:idx val="4"/>
              <c:layout>
                <c:manualLayout>
                  <c:x val="5.3383157613771893E-3"/>
                  <c:y val="0.103376981392143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97-4430-98FD-D213F5635DA3}"/>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CET!$M$32:$Q$32</c:f>
              <c:numCache>
                <c:formatCode>General</c:formatCode>
                <c:ptCount val="5"/>
                <c:pt idx="0">
                  <c:v>2018</c:v>
                </c:pt>
                <c:pt idx="1">
                  <c:v>2019</c:v>
                </c:pt>
                <c:pt idx="2">
                  <c:v>2020</c:v>
                </c:pt>
                <c:pt idx="3">
                  <c:v>2021</c:v>
                </c:pt>
                <c:pt idx="4">
                  <c:v>2022</c:v>
                </c:pt>
              </c:numCache>
            </c:numRef>
          </c:cat>
          <c:val>
            <c:numRef>
              <c:f>CET!$M$33:$Q$33</c:f>
              <c:numCache>
                <c:formatCode>General</c:formatCode>
                <c:ptCount val="5"/>
                <c:pt idx="0">
                  <c:v>87</c:v>
                </c:pt>
                <c:pt idx="1">
                  <c:v>57</c:v>
                </c:pt>
                <c:pt idx="2">
                  <c:v>135</c:v>
                </c:pt>
                <c:pt idx="3">
                  <c:v>126</c:v>
                </c:pt>
                <c:pt idx="4">
                  <c:v>125</c:v>
                </c:pt>
              </c:numCache>
            </c:numRef>
          </c:val>
          <c:extLst>
            <c:ext xmlns:c16="http://schemas.microsoft.com/office/drawing/2014/chart" uri="{C3380CC4-5D6E-409C-BE32-E72D297353CC}">
              <c16:uniqueId val="{00000004-4246-4B08-86CB-ABA90ED19A20}"/>
            </c:ext>
          </c:extLst>
        </c:ser>
        <c:ser>
          <c:idx val="1"/>
          <c:order val="1"/>
          <c:tx>
            <c:strRef>
              <c:f>CET!$L$34</c:f>
              <c:strCache>
                <c:ptCount val="1"/>
                <c:pt idx="0">
                  <c:v>Hommes</c:v>
                </c:pt>
              </c:strCache>
            </c:strRef>
          </c:tx>
          <c:invertIfNegative val="0"/>
          <c:dLbls>
            <c:dLbl>
              <c:idx val="0"/>
              <c:layout>
                <c:manualLayout>
                  <c:x val="8.831816386253178E-3"/>
                  <c:y val="0.10020531484685156"/>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46-4B08-86CB-ABA90ED19A20}"/>
                </c:ext>
              </c:extLst>
            </c:dLbl>
            <c:dLbl>
              <c:idx val="1"/>
              <c:layout>
                <c:manualLayout>
                  <c:x val="5.750425255758084E-3"/>
                  <c:y val="0.10821344166430188"/>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46-4B08-86CB-ABA90ED19A20}"/>
                </c:ext>
              </c:extLst>
            </c:dLbl>
            <c:dLbl>
              <c:idx val="2"/>
              <c:layout>
                <c:manualLayout>
                  <c:x val="1.1500987239982989E-2"/>
                  <c:y val="0.12321741032370961"/>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46-4B08-86CB-ABA90ED19A20}"/>
                </c:ext>
              </c:extLst>
            </c:dLbl>
            <c:dLbl>
              <c:idx val="3"/>
              <c:layout>
                <c:manualLayout>
                  <c:x val="5.3383157613771893E-3"/>
                  <c:y val="0.103764441574369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46-4B08-86CB-ABA90ED19A20}"/>
                </c:ext>
              </c:extLst>
            </c:dLbl>
            <c:dLbl>
              <c:idx val="4"/>
              <c:layout>
                <c:manualLayout>
                  <c:x val="5.3383157613771893E-3"/>
                  <c:y val="0.117160578911095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97-4430-98FD-D213F5635DA3}"/>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CET!$M$32:$Q$32</c:f>
              <c:numCache>
                <c:formatCode>General</c:formatCode>
                <c:ptCount val="5"/>
                <c:pt idx="0">
                  <c:v>2018</c:v>
                </c:pt>
                <c:pt idx="1">
                  <c:v>2019</c:v>
                </c:pt>
                <c:pt idx="2">
                  <c:v>2020</c:v>
                </c:pt>
                <c:pt idx="3">
                  <c:v>2021</c:v>
                </c:pt>
                <c:pt idx="4">
                  <c:v>2022</c:v>
                </c:pt>
              </c:numCache>
            </c:numRef>
          </c:cat>
          <c:val>
            <c:numRef>
              <c:f>CET!$M$34:$Q$34</c:f>
              <c:numCache>
                <c:formatCode>General</c:formatCode>
                <c:ptCount val="5"/>
                <c:pt idx="0">
                  <c:v>32</c:v>
                </c:pt>
                <c:pt idx="1">
                  <c:v>34</c:v>
                </c:pt>
                <c:pt idx="2">
                  <c:v>69</c:v>
                </c:pt>
                <c:pt idx="3">
                  <c:v>61</c:v>
                </c:pt>
                <c:pt idx="4">
                  <c:v>49</c:v>
                </c:pt>
              </c:numCache>
            </c:numRef>
          </c:val>
          <c:extLst>
            <c:ext xmlns:c16="http://schemas.microsoft.com/office/drawing/2014/chart" uri="{C3380CC4-5D6E-409C-BE32-E72D297353CC}">
              <c16:uniqueId val="{00000009-4246-4B08-86CB-ABA90ED19A20}"/>
            </c:ext>
          </c:extLst>
        </c:ser>
        <c:dLbls>
          <c:showLegendKey val="0"/>
          <c:showVal val="0"/>
          <c:showCatName val="0"/>
          <c:showSerName val="0"/>
          <c:showPercent val="0"/>
          <c:showBubbleSize val="0"/>
        </c:dLbls>
        <c:gapWidth val="150"/>
        <c:shape val="cylinder"/>
        <c:axId val="324116208"/>
        <c:axId val="324116600"/>
        <c:axId val="0"/>
      </c:bar3DChart>
      <c:catAx>
        <c:axId val="324116208"/>
        <c:scaling>
          <c:orientation val="minMax"/>
        </c:scaling>
        <c:delete val="0"/>
        <c:axPos val="b"/>
        <c:numFmt formatCode="General" sourceLinked="1"/>
        <c:majorTickMark val="out"/>
        <c:minorTickMark val="none"/>
        <c:tickLblPos val="nextTo"/>
        <c:txPr>
          <a:bodyPr rot="0" vert="horz"/>
          <a:lstStyle/>
          <a:p>
            <a:pPr>
              <a:defRPr/>
            </a:pPr>
            <a:endParaRPr lang="fr-FR"/>
          </a:p>
        </c:txPr>
        <c:crossAx val="324116600"/>
        <c:crosses val="autoZero"/>
        <c:auto val="1"/>
        <c:lblAlgn val="ctr"/>
        <c:lblOffset val="100"/>
        <c:noMultiLvlLbl val="0"/>
      </c:catAx>
      <c:valAx>
        <c:axId val="324116600"/>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324116208"/>
        <c:crosses val="autoZero"/>
        <c:crossBetween val="between"/>
      </c:valAx>
      <c:spPr>
        <a:noFill/>
        <a:ln w="25400">
          <a:noFill/>
        </a:ln>
      </c:spPr>
    </c:plotArea>
    <c:legend>
      <c:legendPos val="r"/>
      <c:layout>
        <c:manualLayout>
          <c:xMode val="edge"/>
          <c:yMode val="edge"/>
          <c:x val="0.84877572755802155"/>
          <c:y val="0.40540349466201414"/>
          <c:w val="0.13572000971973053"/>
          <c:h val="0.29676477837304943"/>
        </c:manualLayout>
      </c:layout>
      <c:overlay val="0"/>
    </c:legend>
    <c:plotVisOnly val="1"/>
    <c:dispBlanksAs val="gap"/>
    <c:showDLblsOverMax val="0"/>
  </c:chart>
  <c:spPr>
    <a:ln>
      <a:solidFill>
        <a:schemeClr val="bg1">
          <a:lumMod val="50000"/>
        </a:schemeClr>
      </a:solidFill>
    </a:ln>
  </c:spPr>
  <c:txPr>
    <a:bodyPr/>
    <a:lstStyle/>
    <a:p>
      <a:pPr>
        <a:defRPr sz="800" b="0" i="0" u="none" strike="noStrike" baseline="0">
          <a:solidFill>
            <a:schemeClr val="accent1">
              <a:lumMod val="75000"/>
            </a:schemeClr>
          </a:solidFill>
          <a:latin typeface="Calibri"/>
          <a:ea typeface="Calibri"/>
          <a:cs typeface="Calibri"/>
        </a:defRPr>
      </a:pPr>
      <a:endParaRPr lang="fr-FR"/>
    </a:p>
  </c:txPr>
  <c:printSettings>
    <c:headerFooter/>
    <c:pageMargins b="0.75000000000000044" l="0.7000000000000004" r="0.7000000000000004" t="0.75000000000000044" header="0.30000000000000021" footer="0.3000000000000002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fr-FR"/>
              <a:t>Epargne en nombre de jours par genre en 2021</a:t>
            </a:r>
          </a:p>
        </c:rich>
      </c:tx>
      <c:layout>
        <c:manualLayout>
          <c:xMode val="edge"/>
          <c:yMode val="edge"/>
          <c:x val="0.14166284640595986"/>
          <c:y val="4.2643923240938165E-2"/>
        </c:manualLayout>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Pt>
            <c:idx val="1"/>
            <c:invertIfNegative val="0"/>
            <c:bubble3D val="0"/>
            <c:spPr>
              <a:solidFill>
                <a:schemeClr val="accent2">
                  <a:lumMod val="75000"/>
                </a:schemeClr>
              </a:solidFill>
            </c:spPr>
            <c:extLst>
              <c:ext xmlns:c16="http://schemas.microsoft.com/office/drawing/2014/chart" uri="{C3380CC4-5D6E-409C-BE32-E72D297353CC}">
                <c16:uniqueId val="{00000001-736E-4BE0-858E-93463391E497}"/>
              </c:ext>
            </c:extLst>
          </c:dPt>
          <c:dLbls>
            <c:dLbl>
              <c:idx val="0"/>
              <c:layout>
                <c:manualLayout>
                  <c:x val="-7.662835249042145E-2"/>
                  <c:y val="7.0729635600111201E-17"/>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E-4BE0-858E-93463391E497}"/>
                </c:ext>
              </c:extLst>
            </c:dLbl>
            <c:dLbl>
              <c:idx val="1"/>
              <c:layout>
                <c:manualLayout>
                  <c:x val="-7.2796934865900442E-2"/>
                  <c:y val="-2.3148148148148147E-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E-4BE0-858E-93463391E497}"/>
                </c:ext>
              </c:extLst>
            </c:dLbl>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CET!$B$35:$B$36</c:f>
              <c:strCache>
                <c:ptCount val="2"/>
                <c:pt idx="0">
                  <c:v>Femmes</c:v>
                </c:pt>
                <c:pt idx="1">
                  <c:v>Hommes</c:v>
                </c:pt>
              </c:strCache>
            </c:strRef>
          </c:cat>
          <c:val>
            <c:numRef>
              <c:f>CET!$C$35:$C$36</c:f>
              <c:numCache>
                <c:formatCode>General</c:formatCode>
                <c:ptCount val="2"/>
                <c:pt idx="0">
                  <c:v>619</c:v>
                </c:pt>
                <c:pt idx="1">
                  <c:v>270</c:v>
                </c:pt>
              </c:numCache>
            </c:numRef>
          </c:val>
          <c:extLst>
            <c:ext xmlns:c16="http://schemas.microsoft.com/office/drawing/2014/chart" uri="{C3380CC4-5D6E-409C-BE32-E72D297353CC}">
              <c16:uniqueId val="{00000003-736E-4BE0-858E-93463391E497}"/>
            </c:ext>
          </c:extLst>
        </c:ser>
        <c:dLbls>
          <c:showLegendKey val="0"/>
          <c:showVal val="0"/>
          <c:showCatName val="0"/>
          <c:showSerName val="0"/>
          <c:showPercent val="0"/>
          <c:showBubbleSize val="0"/>
        </c:dLbls>
        <c:gapWidth val="150"/>
        <c:shape val="cylinder"/>
        <c:axId val="324117384"/>
        <c:axId val="324117776"/>
        <c:axId val="0"/>
      </c:bar3DChart>
      <c:catAx>
        <c:axId val="324117384"/>
        <c:scaling>
          <c:orientation val="minMax"/>
        </c:scaling>
        <c:delete val="1"/>
        <c:axPos val="l"/>
        <c:numFmt formatCode="General" sourceLinked="1"/>
        <c:majorTickMark val="none"/>
        <c:minorTickMark val="none"/>
        <c:tickLblPos val="none"/>
        <c:crossAx val="324117776"/>
        <c:crosses val="autoZero"/>
        <c:auto val="1"/>
        <c:lblAlgn val="ctr"/>
        <c:lblOffset val="100"/>
        <c:noMultiLvlLbl val="0"/>
      </c:catAx>
      <c:valAx>
        <c:axId val="324117776"/>
        <c:scaling>
          <c:orientation val="minMax"/>
        </c:scaling>
        <c:delete val="0"/>
        <c:axPos val="b"/>
        <c:majorGridlines/>
        <c:numFmt formatCode="General" sourceLinked="1"/>
        <c:majorTickMark val="none"/>
        <c:minorTickMark val="none"/>
        <c:tickLblPos val="nextTo"/>
        <c:crossAx val="324117384"/>
        <c:crosses val="autoZero"/>
        <c:crossBetween val="between"/>
      </c:valAx>
    </c:plotArea>
    <c:legend>
      <c:legendPos val="r"/>
      <c:layout>
        <c:manualLayout>
          <c:xMode val="edge"/>
          <c:yMode val="edge"/>
          <c:x val="0.7824768455667177"/>
          <c:y val="0.36521337610576465"/>
          <c:w val="0.19453464868615561"/>
          <c:h val="0.35568470607840691"/>
        </c:manualLayout>
      </c:layout>
      <c:overlay val="0"/>
    </c:legend>
    <c:plotVisOnly val="1"/>
    <c:dispBlanksAs val="gap"/>
    <c:showDLblsOverMax val="0"/>
  </c:chart>
  <c:spPr>
    <a:ln>
      <a:solidFill>
        <a:schemeClr val="bg1">
          <a:lumMod val="50000"/>
        </a:schemeClr>
      </a:solidFill>
    </a:ln>
  </c:spPr>
  <c:txPr>
    <a:bodyPr/>
    <a:lstStyle/>
    <a:p>
      <a:pPr>
        <a:defRPr sz="8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chemeClr val="bg1">
                    <a:lumMod val="50000"/>
                  </a:schemeClr>
                </a:solidFill>
                <a:latin typeface="Calibri"/>
                <a:ea typeface="Calibri"/>
                <a:cs typeface="Calibri"/>
              </a:defRPr>
            </a:pPr>
            <a:r>
              <a:rPr lang="fr-FR">
                <a:solidFill>
                  <a:schemeClr val="bg1">
                    <a:lumMod val="50000"/>
                  </a:schemeClr>
                </a:solidFill>
              </a:rPr>
              <a:t>Nombre de jours d'arrêts par nature de l'absence 2020, 2021 et 2022</a:t>
            </a:r>
          </a:p>
        </c:rich>
      </c:tx>
      <c:layout>
        <c:manualLayout>
          <c:xMode val="edge"/>
          <c:yMode val="edge"/>
          <c:x val="0.26290827740492168"/>
          <c:y val="2.2727272727272728E-2"/>
        </c:manualLayout>
      </c:layout>
      <c:overlay val="1"/>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9.2992558622479904E-2"/>
          <c:y val="7.6389194794706614E-2"/>
          <c:w val="0.74774638747079714"/>
          <c:h val="0.85375942954683148"/>
        </c:manualLayout>
      </c:layout>
      <c:bar3DChart>
        <c:barDir val="bar"/>
        <c:grouping val="clustered"/>
        <c:varyColors val="0"/>
        <c:ser>
          <c:idx val="0"/>
          <c:order val="0"/>
          <c:tx>
            <c:strRef>
              <c:f>CongésMadadie!$D$6:$D$7</c:f>
              <c:strCache>
                <c:ptCount val="2"/>
                <c:pt idx="0">
                  <c:v>2020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CongésMadadie!$C$8:$C$13</c:f>
              <c:strCache>
                <c:ptCount val="6"/>
                <c:pt idx="0">
                  <c:v>M. prof.</c:v>
                </c:pt>
                <c:pt idx="1">
                  <c:v>CGM</c:v>
                </c:pt>
                <c:pt idx="2">
                  <c:v>AT</c:v>
                </c:pt>
                <c:pt idx="3">
                  <c:v>CLD</c:v>
                </c:pt>
                <c:pt idx="4">
                  <c:v>CLM</c:v>
                </c:pt>
                <c:pt idx="5">
                  <c:v>COM</c:v>
                </c:pt>
              </c:strCache>
            </c:strRef>
          </c:cat>
          <c:val>
            <c:numRef>
              <c:f>CongésMadadie!$D$8:$D$13</c:f>
              <c:numCache>
                <c:formatCode>General</c:formatCode>
                <c:ptCount val="6"/>
                <c:pt idx="1">
                  <c:v>505</c:v>
                </c:pt>
                <c:pt idx="2">
                  <c:v>352</c:v>
                </c:pt>
                <c:pt idx="3">
                  <c:v>1007</c:v>
                </c:pt>
                <c:pt idx="4">
                  <c:v>3100</c:v>
                </c:pt>
                <c:pt idx="5">
                  <c:v>6317</c:v>
                </c:pt>
              </c:numCache>
            </c:numRef>
          </c:val>
          <c:extLst>
            <c:ext xmlns:c16="http://schemas.microsoft.com/office/drawing/2014/chart" uri="{C3380CC4-5D6E-409C-BE32-E72D297353CC}">
              <c16:uniqueId val="{00000000-DE89-4F11-9F4B-F02BB26B2E18}"/>
            </c:ext>
          </c:extLst>
        </c:ser>
        <c:ser>
          <c:idx val="1"/>
          <c:order val="1"/>
          <c:tx>
            <c:strRef>
              <c:f>CongésMadadie!$E$6:$E$7</c:f>
              <c:strCache>
                <c:ptCount val="2"/>
                <c:pt idx="0">
                  <c:v>2021</c:v>
                </c:pt>
              </c:strCache>
            </c:strRef>
          </c:tx>
          <c:invertIfNegative val="0"/>
          <c:dLbls>
            <c:dLbl>
              <c:idx val="1"/>
              <c:tx>
                <c:rich>
                  <a:bodyPr/>
                  <a:lstStyle/>
                  <a:p>
                    <a:fld id="{F002A93E-B36E-4915-A272-7341E837F97E}" type="VALUE">
                      <a:rPr lang="en-US">
                        <a:solidFill>
                          <a:srgbClr val="FF00F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D258-410E-AF40-69C020DECD83}"/>
                </c:ext>
              </c:extLst>
            </c:dLbl>
            <c:dLbl>
              <c:idx val="3"/>
              <c:layout>
                <c:manualLayout>
                  <c:x val="-6.2203792573265913E-3"/>
                  <c:y val="-8.5149909560911928E-4"/>
                </c:manualLayout>
              </c:layout>
              <c:spPr>
                <a:noFill/>
                <a:ln>
                  <a:noFill/>
                </a:ln>
                <a:effectLst/>
              </c:spPr>
              <c:txPr>
                <a:bodyPr wrap="square" lIns="38100" tIns="19050" rIns="38100" bIns="19050" anchor="ctr">
                  <a:no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5.8487695749440717E-2"/>
                      <c:h val="5.2002207110474825E-2"/>
                    </c:manualLayout>
                  </c15:layout>
                </c:ext>
                <c:ext xmlns:c16="http://schemas.microsoft.com/office/drawing/2014/chart" uri="{C3380CC4-5D6E-409C-BE32-E72D297353CC}">
                  <c16:uniqueId val="{00000005-7271-436C-9041-B9EA7A90C1C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CongésMadadie!$C$8:$C$13</c:f>
              <c:strCache>
                <c:ptCount val="6"/>
                <c:pt idx="0">
                  <c:v>M. prof.</c:v>
                </c:pt>
                <c:pt idx="1">
                  <c:v>CGM</c:v>
                </c:pt>
                <c:pt idx="2">
                  <c:v>AT</c:v>
                </c:pt>
                <c:pt idx="3">
                  <c:v>CLD</c:v>
                </c:pt>
                <c:pt idx="4">
                  <c:v>CLM</c:v>
                </c:pt>
                <c:pt idx="5">
                  <c:v>COM</c:v>
                </c:pt>
              </c:strCache>
            </c:strRef>
          </c:cat>
          <c:val>
            <c:numRef>
              <c:f>CongésMadadie!$E$8:$E$13</c:f>
              <c:numCache>
                <c:formatCode>General</c:formatCode>
                <c:ptCount val="6"/>
                <c:pt idx="1">
                  <c:v>638</c:v>
                </c:pt>
                <c:pt idx="2">
                  <c:v>1148</c:v>
                </c:pt>
                <c:pt idx="3">
                  <c:v>856</c:v>
                </c:pt>
                <c:pt idx="4">
                  <c:v>2176</c:v>
                </c:pt>
                <c:pt idx="5">
                  <c:v>6897</c:v>
                </c:pt>
              </c:numCache>
            </c:numRef>
          </c:val>
          <c:extLst>
            <c:ext xmlns:c16="http://schemas.microsoft.com/office/drawing/2014/chart" uri="{C3380CC4-5D6E-409C-BE32-E72D297353CC}">
              <c16:uniqueId val="{00000001-DE89-4F11-9F4B-F02BB26B2E18}"/>
            </c:ext>
          </c:extLst>
        </c:ser>
        <c:ser>
          <c:idx val="2"/>
          <c:order val="2"/>
          <c:tx>
            <c:strRef>
              <c:f>CongésMadadie!$F$6:$F$7</c:f>
              <c:strCache>
                <c:ptCount val="2"/>
                <c:pt idx="0">
                  <c:v>2022</c:v>
                </c:pt>
              </c:strCache>
            </c:strRef>
          </c:tx>
          <c:invertIfNegative val="0"/>
          <c:dLbls>
            <c:dLbl>
              <c:idx val="1"/>
              <c:layout>
                <c:manualLayout>
                  <c:x val="4.7337278106508876E-3"/>
                  <c:y val="-7.55427167467877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0A-489D-99EE-E5278CFDC162}"/>
                </c:ext>
              </c:extLst>
            </c:dLbl>
            <c:dLbl>
              <c:idx val="2"/>
              <c:layout>
                <c:manualLayout>
                  <c:x val="-3.2810955789796492E-17"/>
                  <c:y val="-8.75160875160875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71-436C-9041-B9EA7A90C1CC}"/>
                </c:ext>
              </c:extLst>
            </c:dLbl>
            <c:dLbl>
              <c:idx val="3"/>
              <c:layout>
                <c:manualLayout>
                  <c:x val="-1.7751942081065699E-3"/>
                  <c:y val="-4.37580437580443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71-436C-9041-B9EA7A90C1CC}"/>
                </c:ext>
              </c:extLst>
            </c:dLbl>
            <c:dLbl>
              <c:idx val="4"/>
              <c:layout>
                <c:manualLayout>
                  <c:x val="0"/>
                  <c:y val="-1.74680863755667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71-436C-9041-B9EA7A90C1CC}"/>
                </c:ext>
              </c:extLst>
            </c:dLbl>
            <c:dLbl>
              <c:idx val="5"/>
              <c:layout>
                <c:manualLayout>
                  <c:x val="5.4127198917456026E-3"/>
                  <c:y val="-1.8018018018018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71-436C-9041-B9EA7A90C1CC}"/>
                </c:ext>
              </c:extLst>
            </c:dLbl>
            <c:spPr>
              <a:noFill/>
              <a:ln>
                <a:noFill/>
              </a:ln>
              <a:effectLst/>
            </c:spPr>
            <c:txPr>
              <a:bodyPr wrap="square" lIns="38100" tIns="19050" rIns="38100" bIns="19050" anchor="ctr">
                <a:spAutoFit/>
              </a:bodyPr>
              <a:lstStyle/>
              <a:p>
                <a:pPr>
                  <a:defRPr>
                    <a:solidFill>
                      <a:srgbClr val="FF00FF"/>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CongésMadadie!$C$8:$C$13</c:f>
              <c:strCache>
                <c:ptCount val="6"/>
                <c:pt idx="0">
                  <c:v>M. prof.</c:v>
                </c:pt>
                <c:pt idx="1">
                  <c:v>CGM</c:v>
                </c:pt>
                <c:pt idx="2">
                  <c:v>AT</c:v>
                </c:pt>
                <c:pt idx="3">
                  <c:v>CLD</c:v>
                </c:pt>
                <c:pt idx="4">
                  <c:v>CLM</c:v>
                </c:pt>
                <c:pt idx="5">
                  <c:v>COM</c:v>
                </c:pt>
              </c:strCache>
            </c:strRef>
          </c:cat>
          <c:val>
            <c:numRef>
              <c:f>CongésMadadie!$F$8:$F$13</c:f>
              <c:numCache>
                <c:formatCode>General</c:formatCode>
                <c:ptCount val="6"/>
                <c:pt idx="0">
                  <c:v>248</c:v>
                </c:pt>
                <c:pt idx="1">
                  <c:v>391</c:v>
                </c:pt>
                <c:pt idx="2">
                  <c:v>956</c:v>
                </c:pt>
                <c:pt idx="3">
                  <c:v>551</c:v>
                </c:pt>
                <c:pt idx="4">
                  <c:v>1412</c:v>
                </c:pt>
                <c:pt idx="5">
                  <c:v>8884</c:v>
                </c:pt>
              </c:numCache>
            </c:numRef>
          </c:val>
          <c:extLst>
            <c:ext xmlns:c16="http://schemas.microsoft.com/office/drawing/2014/chart" uri="{C3380CC4-5D6E-409C-BE32-E72D297353CC}">
              <c16:uniqueId val="{00000000-7271-436C-9041-B9EA7A90C1CC}"/>
            </c:ext>
          </c:extLst>
        </c:ser>
        <c:dLbls>
          <c:showLegendKey val="0"/>
          <c:showVal val="1"/>
          <c:showCatName val="0"/>
          <c:showSerName val="0"/>
          <c:showPercent val="0"/>
          <c:showBubbleSize val="0"/>
        </c:dLbls>
        <c:gapWidth val="150"/>
        <c:shape val="cylinder"/>
        <c:axId val="324118560"/>
        <c:axId val="324118952"/>
        <c:axId val="0"/>
      </c:bar3DChart>
      <c:catAx>
        <c:axId val="324118560"/>
        <c:scaling>
          <c:orientation val="minMax"/>
        </c:scaling>
        <c:delete val="0"/>
        <c:axPos val="l"/>
        <c:numFmt formatCode="General" sourceLinked="1"/>
        <c:majorTickMark val="out"/>
        <c:minorTickMark val="none"/>
        <c:tickLblPos val="nextTo"/>
        <c:txPr>
          <a:bodyPr rot="0" vert="horz"/>
          <a:lstStyle/>
          <a:p>
            <a:pPr>
              <a:defRPr sz="900" b="0" i="0" u="none" strike="noStrike" baseline="0">
                <a:solidFill>
                  <a:srgbClr val="666699"/>
                </a:solidFill>
                <a:latin typeface="Calibri"/>
                <a:ea typeface="Calibri"/>
                <a:cs typeface="Calibri"/>
              </a:defRPr>
            </a:pPr>
            <a:endParaRPr lang="fr-FR"/>
          </a:p>
        </c:txPr>
        <c:crossAx val="324118952"/>
        <c:crosses val="autoZero"/>
        <c:auto val="1"/>
        <c:lblAlgn val="ctr"/>
        <c:lblOffset val="100"/>
        <c:noMultiLvlLbl val="0"/>
      </c:catAx>
      <c:valAx>
        <c:axId val="324118952"/>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666699"/>
                </a:solidFill>
                <a:latin typeface="Calibri"/>
                <a:ea typeface="Calibri"/>
                <a:cs typeface="Calibri"/>
              </a:defRPr>
            </a:pPr>
            <a:endParaRPr lang="fr-FR"/>
          </a:p>
        </c:txPr>
        <c:crossAx val="324118560"/>
        <c:crosses val="autoZero"/>
        <c:crossBetween val="between"/>
      </c:valAx>
      <c:spPr>
        <a:noFill/>
        <a:ln w="25400">
          <a:noFill/>
        </a:ln>
      </c:spPr>
    </c:plotArea>
    <c:legend>
      <c:legendPos val="r"/>
      <c:layout>
        <c:manualLayout>
          <c:xMode val="edge"/>
          <c:yMode val="edge"/>
          <c:x val="0.84457189630505425"/>
          <c:y val="0.41026521826414764"/>
          <c:w val="6.1076573482006014E-2"/>
          <c:h val="0.19176270579813887"/>
        </c:manualLayout>
      </c:layout>
      <c:overlay val="0"/>
      <c:txPr>
        <a:bodyPr/>
        <a:lstStyle/>
        <a:p>
          <a:pPr>
            <a:defRPr sz="900" b="0" i="0" u="none" strike="noStrike" baseline="0">
              <a:solidFill>
                <a:srgbClr val="666699"/>
              </a:solidFill>
              <a:latin typeface="Calibri"/>
              <a:ea typeface="Calibri"/>
              <a:cs typeface="Calibri"/>
            </a:defRPr>
          </a:pPr>
          <a:endParaRPr lang="fr-FR"/>
        </a:p>
      </c:txPr>
    </c:legend>
    <c:plotVisOnly val="1"/>
    <c:dispBlanksAs val="gap"/>
    <c:showDLblsOverMax val="0"/>
  </c:chart>
  <c:spPr>
    <a:ln>
      <a:noFill/>
    </a:ln>
  </c:spPr>
  <c:txPr>
    <a:bodyPr/>
    <a:lstStyle/>
    <a:p>
      <a:pPr>
        <a:defRPr sz="900" b="0" i="0" u="none" strike="noStrike" baseline="0">
          <a:solidFill>
            <a:srgbClr val="666699"/>
          </a:solidFill>
          <a:latin typeface="Calibri"/>
          <a:ea typeface="Calibri"/>
          <a:cs typeface="Calibri"/>
        </a:defRPr>
      </a:pPr>
      <a:endParaRPr lang="fr-FR"/>
    </a:p>
  </c:txPr>
  <c:printSettings>
    <c:headerFooter/>
    <c:pageMargins b="0.75000000000000044" l="0.7000000000000004" r="0.7000000000000004" t="0.75000000000000044" header="0.30000000000000021" footer="0.30000000000000021"/>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chemeClr val="accent1">
                    <a:lumMod val="60000"/>
                    <a:lumOff val="40000"/>
                  </a:schemeClr>
                </a:solidFill>
                <a:latin typeface="Calibri" panose="020F0502020204030204" pitchFamily="34" charset="0"/>
                <a:ea typeface="+mn-ea"/>
                <a:cs typeface="+mn-cs"/>
              </a:defRPr>
            </a:pPr>
            <a:r>
              <a:rPr lang="fr-FR" sz="900">
                <a:solidFill>
                  <a:schemeClr val="accent1">
                    <a:lumMod val="60000"/>
                    <a:lumOff val="40000"/>
                  </a:schemeClr>
                </a:solidFill>
              </a:rPr>
              <a:t>Nombre d'arrêts par </a:t>
            </a:r>
            <a:r>
              <a:rPr lang="fr-FR" sz="900" b="1" i="0" baseline="0">
                <a:solidFill>
                  <a:schemeClr val="accent1">
                    <a:lumMod val="60000"/>
                    <a:lumOff val="40000"/>
                  </a:schemeClr>
                </a:solidFill>
                <a:effectLst/>
              </a:rPr>
              <a:t>saison</a:t>
            </a:r>
            <a:endParaRPr lang="fr-FR" sz="900">
              <a:solidFill>
                <a:schemeClr val="accent1">
                  <a:lumMod val="60000"/>
                  <a:lumOff val="40000"/>
                </a:schemeClr>
              </a:solidFill>
            </a:endParaRP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4.7235824811169766E-2"/>
          <c:y val="0.1801674179008371"/>
          <c:w val="0.86583133423396774"/>
          <c:h val="0.7282175046857069"/>
        </c:manualLayout>
      </c:layout>
      <c:bar3DChart>
        <c:barDir val="col"/>
        <c:grouping val="clustered"/>
        <c:varyColors val="0"/>
        <c:ser>
          <c:idx val="0"/>
          <c:order val="0"/>
          <c:tx>
            <c:strRef>
              <c:f>SaisonnalitéCOM!$C$28</c:f>
              <c:strCache>
                <c:ptCount val="1"/>
                <c:pt idx="0">
                  <c:v>2020</c:v>
                </c:pt>
              </c:strCache>
            </c:strRef>
          </c:tx>
          <c:invertIfNegative val="0"/>
          <c:dLbls>
            <c:dLbl>
              <c:idx val="0"/>
              <c:layout>
                <c:manualLayout>
                  <c:x val="7.1530758226037378E-3"/>
                  <c:y val="0.101851851851851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CB-4308-956B-9B4496902A06}"/>
                </c:ext>
              </c:extLst>
            </c:dLbl>
            <c:dLbl>
              <c:idx val="1"/>
              <c:layout>
                <c:manualLayout>
                  <c:x val="5.3648068669527879E-3"/>
                  <c:y val="7.8703703703703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CB-4308-956B-9B4496902A06}"/>
                </c:ext>
              </c:extLst>
            </c:dLbl>
            <c:dLbl>
              <c:idx val="2"/>
              <c:layout>
                <c:manualLayout>
                  <c:x val="5.3648068669527879E-3"/>
                  <c:y val="7.8703703703703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CB-4308-956B-9B4496902A06}"/>
                </c:ext>
              </c:extLst>
            </c:dLbl>
            <c:dLbl>
              <c:idx val="3"/>
              <c:layout>
                <c:manualLayout>
                  <c:x val="7.1530758226037196E-3"/>
                  <c:y val="0.101851851851851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CB-4308-956B-9B4496902A06}"/>
                </c:ext>
              </c:extLst>
            </c:dLbl>
            <c:spPr>
              <a:noFill/>
              <a:ln>
                <a:noFill/>
              </a:ln>
              <a:effectLst/>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SaisonnalitéCOM!$D$27:$G$27</c:f>
              <c:strCache>
                <c:ptCount val="4"/>
                <c:pt idx="0">
                  <c:v>Printemps</c:v>
                </c:pt>
                <c:pt idx="1">
                  <c:v>Eté</c:v>
                </c:pt>
                <c:pt idx="2">
                  <c:v>Automne</c:v>
                </c:pt>
                <c:pt idx="3">
                  <c:v>Hiver</c:v>
                </c:pt>
              </c:strCache>
            </c:strRef>
          </c:cat>
          <c:val>
            <c:numRef>
              <c:f>SaisonnalitéCOM!$D$28:$G$28</c:f>
              <c:numCache>
                <c:formatCode>General</c:formatCode>
                <c:ptCount val="4"/>
                <c:pt idx="0">
                  <c:v>33</c:v>
                </c:pt>
                <c:pt idx="1">
                  <c:v>89</c:v>
                </c:pt>
                <c:pt idx="2">
                  <c:v>143</c:v>
                </c:pt>
                <c:pt idx="3">
                  <c:v>193</c:v>
                </c:pt>
              </c:numCache>
            </c:numRef>
          </c:val>
          <c:extLst>
            <c:ext xmlns:c16="http://schemas.microsoft.com/office/drawing/2014/chart" uri="{C3380CC4-5D6E-409C-BE32-E72D297353CC}">
              <c16:uniqueId val="{00000004-85CB-4308-956B-9B4496902A06}"/>
            </c:ext>
          </c:extLst>
        </c:ser>
        <c:ser>
          <c:idx val="1"/>
          <c:order val="1"/>
          <c:tx>
            <c:strRef>
              <c:f>SaisonnalitéCOM!$C$29</c:f>
              <c:strCache>
                <c:ptCount val="1"/>
                <c:pt idx="0">
                  <c:v>2021</c:v>
                </c:pt>
              </c:strCache>
            </c:strRef>
          </c:tx>
          <c:invertIfNegative val="0"/>
          <c:dLbls>
            <c:dLbl>
              <c:idx val="0"/>
              <c:layout>
                <c:manualLayout>
                  <c:x val="5.3648068669527879E-3"/>
                  <c:y val="7.87037037037036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CB-4308-956B-9B4496902A06}"/>
                </c:ext>
              </c:extLst>
            </c:dLbl>
            <c:dLbl>
              <c:idx val="1"/>
              <c:layout>
                <c:manualLayout>
                  <c:x val="7.1530758226037196E-3"/>
                  <c:y val="9.25925925925926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CB-4308-956B-9B4496902A06}"/>
                </c:ext>
              </c:extLst>
            </c:dLbl>
            <c:dLbl>
              <c:idx val="2"/>
              <c:layout>
                <c:manualLayout>
                  <c:x val="7.1530758226037864E-3"/>
                  <c:y val="6.94444444444444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CB-4308-956B-9B4496902A06}"/>
                </c:ext>
              </c:extLst>
            </c:dLbl>
            <c:dLbl>
              <c:idx val="3"/>
              <c:layout>
                <c:manualLayout>
                  <c:x val="7.1530758226037196E-3"/>
                  <c:y val="9.25925925925926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CB-4308-956B-9B4496902A06}"/>
                </c:ext>
              </c:extLst>
            </c:dLbl>
            <c:spPr>
              <a:noFill/>
              <a:ln>
                <a:noFill/>
              </a:ln>
              <a:effectLst/>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SaisonnalitéCOM!$D$27:$G$27</c:f>
              <c:strCache>
                <c:ptCount val="4"/>
                <c:pt idx="0">
                  <c:v>Printemps</c:v>
                </c:pt>
                <c:pt idx="1">
                  <c:v>Eté</c:v>
                </c:pt>
                <c:pt idx="2">
                  <c:v>Automne</c:v>
                </c:pt>
                <c:pt idx="3">
                  <c:v>Hiver</c:v>
                </c:pt>
              </c:strCache>
            </c:strRef>
          </c:cat>
          <c:val>
            <c:numRef>
              <c:f>SaisonnalitéCOM!$D$29:$G$29</c:f>
              <c:numCache>
                <c:formatCode>General</c:formatCode>
                <c:ptCount val="4"/>
                <c:pt idx="0">
                  <c:v>128</c:v>
                </c:pt>
                <c:pt idx="1">
                  <c:v>81</c:v>
                </c:pt>
                <c:pt idx="2">
                  <c:v>177</c:v>
                </c:pt>
                <c:pt idx="3">
                  <c:v>146</c:v>
                </c:pt>
              </c:numCache>
            </c:numRef>
          </c:val>
          <c:extLst>
            <c:ext xmlns:c16="http://schemas.microsoft.com/office/drawing/2014/chart" uri="{C3380CC4-5D6E-409C-BE32-E72D297353CC}">
              <c16:uniqueId val="{00000009-85CB-4308-956B-9B4496902A06}"/>
            </c:ext>
          </c:extLst>
        </c:ser>
        <c:ser>
          <c:idx val="2"/>
          <c:order val="2"/>
          <c:tx>
            <c:strRef>
              <c:f>SaisonnalitéCOM!$C$30</c:f>
              <c:strCache>
                <c:ptCount val="1"/>
                <c:pt idx="0">
                  <c:v>2022</c:v>
                </c:pt>
              </c:strCache>
            </c:strRef>
          </c:tx>
          <c:invertIfNegative val="0"/>
          <c:dLbls>
            <c:dLbl>
              <c:idx val="0"/>
              <c:layout>
                <c:manualLayout>
                  <c:x val="8.7183204212149534E-3"/>
                  <c:y val="6.6499012156641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5CB-4308-956B-9B4496902A06}"/>
                </c:ext>
              </c:extLst>
            </c:dLbl>
            <c:dLbl>
              <c:idx val="1"/>
              <c:layout>
                <c:manualLayout>
                  <c:x val="7.0415933923751875E-3"/>
                  <c:y val="6.6499012156641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5CB-4308-956B-9B4496902A06}"/>
                </c:ext>
              </c:extLst>
            </c:dLbl>
            <c:dLbl>
              <c:idx val="2"/>
              <c:layout>
                <c:manualLayout>
                  <c:x val="8.9413119134756046E-3"/>
                  <c:y val="6.2880243639860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5CB-4308-956B-9B4496902A06}"/>
                </c:ext>
              </c:extLst>
            </c:dLbl>
            <c:dLbl>
              <c:idx val="3"/>
              <c:layout>
                <c:manualLayout>
                  <c:x val="8.8297501544701285E-3"/>
                  <c:y val="7.904065114848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CB-4308-956B-9B4496902A06}"/>
                </c:ext>
              </c:extLst>
            </c:dLbl>
            <c:spPr>
              <a:noFill/>
              <a:ln>
                <a:noFill/>
              </a:ln>
              <a:effectLst/>
            </c:spPr>
            <c:txPr>
              <a:bodyPr/>
              <a:lstStyle/>
              <a:p>
                <a:pPr>
                  <a:defRPr b="1">
                    <a:solidFill>
                      <a:srgbClr val="92D05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SaisonnalitéCOM!$D$27:$G$27</c:f>
              <c:strCache>
                <c:ptCount val="4"/>
                <c:pt idx="0">
                  <c:v>Printemps</c:v>
                </c:pt>
                <c:pt idx="1">
                  <c:v>Eté</c:v>
                </c:pt>
                <c:pt idx="2">
                  <c:v>Automne</c:v>
                </c:pt>
                <c:pt idx="3">
                  <c:v>Hiver</c:v>
                </c:pt>
              </c:strCache>
            </c:strRef>
          </c:cat>
          <c:val>
            <c:numRef>
              <c:f>SaisonnalitéCOM!$D$30:$G$30</c:f>
              <c:numCache>
                <c:formatCode>General</c:formatCode>
                <c:ptCount val="4"/>
                <c:pt idx="0">
                  <c:v>191</c:v>
                </c:pt>
                <c:pt idx="1">
                  <c:v>117</c:v>
                </c:pt>
                <c:pt idx="2">
                  <c:v>226</c:v>
                </c:pt>
                <c:pt idx="3">
                  <c:v>229</c:v>
                </c:pt>
              </c:numCache>
            </c:numRef>
          </c:val>
          <c:extLst>
            <c:ext xmlns:c16="http://schemas.microsoft.com/office/drawing/2014/chart" uri="{C3380CC4-5D6E-409C-BE32-E72D297353CC}">
              <c16:uniqueId val="{0000000E-85CB-4308-956B-9B4496902A06}"/>
            </c:ext>
          </c:extLst>
        </c:ser>
        <c:dLbls>
          <c:showLegendKey val="0"/>
          <c:showVal val="1"/>
          <c:showCatName val="0"/>
          <c:showSerName val="0"/>
          <c:showPercent val="0"/>
          <c:showBubbleSize val="0"/>
        </c:dLbls>
        <c:gapWidth val="150"/>
        <c:shape val="cylinder"/>
        <c:axId val="324119736"/>
        <c:axId val="324435712"/>
        <c:axId val="0"/>
      </c:bar3DChart>
      <c:catAx>
        <c:axId val="324119736"/>
        <c:scaling>
          <c:orientation val="minMax"/>
        </c:scaling>
        <c:delete val="0"/>
        <c:axPos val="b"/>
        <c:numFmt formatCode="General" sourceLinked="0"/>
        <c:majorTickMark val="none"/>
        <c:minorTickMark val="none"/>
        <c:tickLblPos val="nextTo"/>
        <c:crossAx val="324435712"/>
        <c:crosses val="autoZero"/>
        <c:auto val="1"/>
        <c:lblAlgn val="ctr"/>
        <c:lblOffset val="100"/>
        <c:noMultiLvlLbl val="0"/>
      </c:catAx>
      <c:valAx>
        <c:axId val="324435712"/>
        <c:scaling>
          <c:orientation val="minMax"/>
        </c:scaling>
        <c:delete val="0"/>
        <c:axPos val="l"/>
        <c:majorGridlines/>
        <c:numFmt formatCode="General" sourceLinked="1"/>
        <c:majorTickMark val="none"/>
        <c:minorTickMark val="none"/>
        <c:tickLblPos val="nextTo"/>
        <c:crossAx val="324119736"/>
        <c:crosses val="autoZero"/>
        <c:crossBetween val="between"/>
      </c:valAx>
    </c:plotArea>
    <c:legend>
      <c:legendPos val="r"/>
      <c:overlay val="0"/>
    </c:legend>
    <c:plotVisOnly val="1"/>
    <c:dispBlanksAs val="gap"/>
    <c:showDLblsOverMax val="0"/>
  </c:chart>
  <c:spPr>
    <a:ln>
      <a:noFill/>
    </a:ln>
  </c:spPr>
  <c:txPr>
    <a:bodyPr/>
    <a:lstStyle/>
    <a:p>
      <a:pPr>
        <a:defRPr sz="8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solidFill>
                  <a:schemeClr val="accent1">
                    <a:lumMod val="60000"/>
                    <a:lumOff val="40000"/>
                  </a:schemeClr>
                </a:solidFill>
              </a:defRPr>
            </a:pPr>
            <a:r>
              <a:rPr lang="fr-FR" sz="900">
                <a:solidFill>
                  <a:schemeClr val="accent1">
                    <a:lumMod val="60000"/>
                    <a:lumOff val="40000"/>
                  </a:schemeClr>
                </a:solidFill>
              </a:rPr>
              <a:t>Nombre de jours d'arrêts par saison</a:t>
            </a:r>
            <a:endParaRPr lang="fr-FR" sz="900">
              <a:solidFill>
                <a:srgbClr val="FF0000"/>
              </a:solidFill>
            </a:endParaRP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SaisonnalitéCOM!$C$7</c:f>
              <c:strCache>
                <c:ptCount val="1"/>
                <c:pt idx="0">
                  <c:v>2020</c:v>
                </c:pt>
              </c:strCache>
            </c:strRef>
          </c:tx>
          <c:invertIfNegative val="0"/>
          <c:dLbls>
            <c:dLbl>
              <c:idx val="0"/>
              <c:layout>
                <c:manualLayout>
                  <c:x val="7.1530758226037378E-3"/>
                  <c:y val="0.101851851851851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50-40F2-A32D-D5EE171A5FB5}"/>
                </c:ext>
              </c:extLst>
            </c:dLbl>
            <c:dLbl>
              <c:idx val="1"/>
              <c:layout>
                <c:manualLayout>
                  <c:x val="5.3648068669527879E-3"/>
                  <c:y val="7.8703703703703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50-40F2-A32D-D5EE171A5FB5}"/>
                </c:ext>
              </c:extLst>
            </c:dLbl>
            <c:dLbl>
              <c:idx val="2"/>
              <c:layout>
                <c:manualLayout>
                  <c:x val="5.3648068669527879E-3"/>
                  <c:y val="7.8703703703703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50-40F2-A32D-D5EE171A5FB5}"/>
                </c:ext>
              </c:extLst>
            </c:dLbl>
            <c:dLbl>
              <c:idx val="3"/>
              <c:layout>
                <c:manualLayout>
                  <c:x val="7.1530758226037196E-3"/>
                  <c:y val="0.101851851851851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50-40F2-A32D-D5EE171A5FB5}"/>
                </c:ext>
              </c:extLst>
            </c:dLbl>
            <c:spPr>
              <a:noFill/>
              <a:ln>
                <a:noFill/>
              </a:ln>
              <a:effectLst/>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SaisonnalitéCOM!$D$6:$G$6</c:f>
              <c:strCache>
                <c:ptCount val="4"/>
                <c:pt idx="0">
                  <c:v>Printemps</c:v>
                </c:pt>
                <c:pt idx="1">
                  <c:v>Eté</c:v>
                </c:pt>
                <c:pt idx="2">
                  <c:v>Automne</c:v>
                </c:pt>
                <c:pt idx="3">
                  <c:v>Hiver</c:v>
                </c:pt>
              </c:strCache>
            </c:strRef>
          </c:cat>
          <c:val>
            <c:numRef>
              <c:f>SaisonnalitéCOM!$D$7:$G$7</c:f>
              <c:numCache>
                <c:formatCode>General</c:formatCode>
                <c:ptCount val="4"/>
                <c:pt idx="0" formatCode="0">
                  <c:v>557</c:v>
                </c:pt>
                <c:pt idx="1">
                  <c:v>1524</c:v>
                </c:pt>
                <c:pt idx="2">
                  <c:v>1928</c:v>
                </c:pt>
                <c:pt idx="3">
                  <c:v>2388</c:v>
                </c:pt>
              </c:numCache>
            </c:numRef>
          </c:val>
          <c:extLst>
            <c:ext xmlns:c16="http://schemas.microsoft.com/office/drawing/2014/chart" uri="{C3380CC4-5D6E-409C-BE32-E72D297353CC}">
              <c16:uniqueId val="{00000004-DA50-40F2-A32D-D5EE171A5FB5}"/>
            </c:ext>
          </c:extLst>
        </c:ser>
        <c:ser>
          <c:idx val="1"/>
          <c:order val="1"/>
          <c:tx>
            <c:strRef>
              <c:f>SaisonnalitéCOM!$C$8</c:f>
              <c:strCache>
                <c:ptCount val="1"/>
                <c:pt idx="0">
                  <c:v>2021</c:v>
                </c:pt>
              </c:strCache>
            </c:strRef>
          </c:tx>
          <c:invertIfNegative val="0"/>
          <c:dLbls>
            <c:dLbl>
              <c:idx val="0"/>
              <c:layout>
                <c:manualLayout>
                  <c:x val="5.0301810865191147E-3"/>
                  <c:y val="7.68737988468930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66-40ED-883D-4DDBDA4DC2DB}"/>
                </c:ext>
              </c:extLst>
            </c:dLbl>
            <c:dLbl>
              <c:idx val="1"/>
              <c:layout>
                <c:manualLayout>
                  <c:x val="5.0301810865191147E-3"/>
                  <c:y val="8.5415332052103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66-40ED-883D-4DDBDA4DC2DB}"/>
                </c:ext>
              </c:extLst>
            </c:dLbl>
            <c:dLbl>
              <c:idx val="2"/>
              <c:layout>
                <c:manualLayout>
                  <c:x val="5.0301810865191147E-3"/>
                  <c:y val="6.8332265641682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66-40ED-883D-4DDBDA4DC2DB}"/>
                </c:ext>
              </c:extLst>
            </c:dLbl>
            <c:dLbl>
              <c:idx val="3"/>
              <c:layout>
                <c:manualLayout>
                  <c:x val="5.0301810865191147E-3"/>
                  <c:y val="8.1144565449498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6-40ED-883D-4DDBDA4DC2DB}"/>
                </c:ext>
              </c:extLst>
            </c:dLbl>
            <c:spPr>
              <a:noFill/>
              <a:ln>
                <a:noFill/>
              </a:ln>
              <a:effectLst/>
            </c:spPr>
            <c:txPr>
              <a:bodyPr wrap="square" lIns="38100" tIns="19050" rIns="38100" bIns="19050" anchor="ctr">
                <a:spAutoFit/>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SaisonnalitéCOM!$D$6:$G$6</c:f>
              <c:strCache>
                <c:ptCount val="4"/>
                <c:pt idx="0">
                  <c:v>Printemps</c:v>
                </c:pt>
                <c:pt idx="1">
                  <c:v>Eté</c:v>
                </c:pt>
                <c:pt idx="2">
                  <c:v>Automne</c:v>
                </c:pt>
                <c:pt idx="3">
                  <c:v>Hiver</c:v>
                </c:pt>
              </c:strCache>
            </c:strRef>
          </c:cat>
          <c:val>
            <c:numRef>
              <c:f>SaisonnalitéCOM!$D$8:$G$8</c:f>
              <c:numCache>
                <c:formatCode>General</c:formatCode>
                <c:ptCount val="4"/>
                <c:pt idx="0">
                  <c:v>1983</c:v>
                </c:pt>
                <c:pt idx="1">
                  <c:v>1023</c:v>
                </c:pt>
                <c:pt idx="2">
                  <c:v>2004</c:v>
                </c:pt>
                <c:pt idx="3">
                  <c:v>1887</c:v>
                </c:pt>
              </c:numCache>
            </c:numRef>
          </c:val>
          <c:extLst>
            <c:ext xmlns:c16="http://schemas.microsoft.com/office/drawing/2014/chart" uri="{C3380CC4-5D6E-409C-BE32-E72D297353CC}">
              <c16:uniqueId val="{00000000-3466-40ED-883D-4DDBDA4DC2DB}"/>
            </c:ext>
          </c:extLst>
        </c:ser>
        <c:ser>
          <c:idx val="2"/>
          <c:order val="2"/>
          <c:tx>
            <c:strRef>
              <c:f>SaisonnalitéCOM!$C$9</c:f>
              <c:strCache>
                <c:ptCount val="1"/>
                <c:pt idx="0">
                  <c:v>2022</c:v>
                </c:pt>
              </c:strCache>
            </c:strRef>
          </c:tx>
          <c:invertIfNegative val="0"/>
          <c:dLbls>
            <c:dLbl>
              <c:idx val="0"/>
              <c:layout>
                <c:manualLayout>
                  <c:x val="3.3534540576794099E-3"/>
                  <c:y val="8.9686098654708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66-40ED-883D-4DDBDA4DC2DB}"/>
                </c:ext>
              </c:extLst>
            </c:dLbl>
            <c:dLbl>
              <c:idx val="1"/>
              <c:layout>
                <c:manualLayout>
                  <c:x val="6.7069081153588199E-3"/>
                  <c:y val="7.2603032244287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6-40ED-883D-4DDBDA4DC2DB}"/>
                </c:ext>
              </c:extLst>
            </c:dLbl>
            <c:dLbl>
              <c:idx val="2"/>
              <c:layout>
                <c:manualLayout>
                  <c:x val="6.7069081153588199E-3"/>
                  <c:y val="8.11445654494981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6-40ED-883D-4DDBDA4DC2DB}"/>
                </c:ext>
              </c:extLst>
            </c:dLbl>
            <c:dLbl>
              <c:idx val="3"/>
              <c:layout>
                <c:manualLayout>
                  <c:x val="8.383635144198525E-3"/>
                  <c:y val="7.26030322442878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466-40ED-883D-4DDBDA4DC2DB}"/>
                </c:ext>
              </c:extLst>
            </c:dLbl>
            <c:spPr>
              <a:noFill/>
              <a:ln>
                <a:noFill/>
              </a:ln>
              <a:effectLst/>
            </c:spPr>
            <c:txPr>
              <a:bodyPr wrap="square" lIns="38100" tIns="19050" rIns="38100" bIns="19050" anchor="ctr">
                <a:spAutoFit/>
              </a:bodyPr>
              <a:lstStyle/>
              <a:p>
                <a:pPr>
                  <a:defRPr>
                    <a:solidFill>
                      <a:srgbClr val="92D05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SaisonnalitéCOM!$D$6:$G$6</c:f>
              <c:strCache>
                <c:ptCount val="4"/>
                <c:pt idx="0">
                  <c:v>Printemps</c:v>
                </c:pt>
                <c:pt idx="1">
                  <c:v>Eté</c:v>
                </c:pt>
                <c:pt idx="2">
                  <c:v>Automne</c:v>
                </c:pt>
                <c:pt idx="3">
                  <c:v>Hiver</c:v>
                </c:pt>
              </c:strCache>
            </c:strRef>
          </c:cat>
          <c:val>
            <c:numRef>
              <c:f>SaisonnalitéCOM!$D$9:$G$9</c:f>
              <c:numCache>
                <c:formatCode>General</c:formatCode>
                <c:ptCount val="4"/>
                <c:pt idx="0">
                  <c:v>2137</c:v>
                </c:pt>
                <c:pt idx="1">
                  <c:v>1969</c:v>
                </c:pt>
                <c:pt idx="2">
                  <c:v>2297</c:v>
                </c:pt>
                <c:pt idx="3">
                  <c:v>2481</c:v>
                </c:pt>
              </c:numCache>
            </c:numRef>
          </c:val>
          <c:extLst>
            <c:ext xmlns:c16="http://schemas.microsoft.com/office/drawing/2014/chart" uri="{C3380CC4-5D6E-409C-BE32-E72D297353CC}">
              <c16:uniqueId val="{00000001-3466-40ED-883D-4DDBDA4DC2DB}"/>
            </c:ext>
          </c:extLst>
        </c:ser>
        <c:dLbls>
          <c:showLegendKey val="0"/>
          <c:showVal val="1"/>
          <c:showCatName val="0"/>
          <c:showSerName val="0"/>
          <c:showPercent val="0"/>
          <c:showBubbleSize val="0"/>
        </c:dLbls>
        <c:gapWidth val="150"/>
        <c:shape val="cylinder"/>
        <c:axId val="324436496"/>
        <c:axId val="324436888"/>
        <c:axId val="0"/>
      </c:bar3DChart>
      <c:catAx>
        <c:axId val="324436496"/>
        <c:scaling>
          <c:orientation val="minMax"/>
        </c:scaling>
        <c:delete val="0"/>
        <c:axPos val="b"/>
        <c:numFmt formatCode="General" sourceLinked="0"/>
        <c:majorTickMark val="none"/>
        <c:minorTickMark val="none"/>
        <c:tickLblPos val="nextTo"/>
        <c:crossAx val="324436888"/>
        <c:crosses val="autoZero"/>
        <c:auto val="1"/>
        <c:lblAlgn val="ctr"/>
        <c:lblOffset val="100"/>
        <c:noMultiLvlLbl val="0"/>
      </c:catAx>
      <c:valAx>
        <c:axId val="324436888"/>
        <c:scaling>
          <c:orientation val="minMax"/>
        </c:scaling>
        <c:delete val="0"/>
        <c:axPos val="l"/>
        <c:majorGridlines/>
        <c:numFmt formatCode="0" sourceLinked="1"/>
        <c:majorTickMark val="none"/>
        <c:minorTickMark val="none"/>
        <c:tickLblPos val="nextTo"/>
        <c:crossAx val="324436496"/>
        <c:crosses val="autoZero"/>
        <c:crossBetween val="between"/>
      </c:valAx>
    </c:plotArea>
    <c:legend>
      <c:legendPos val="r"/>
      <c:overlay val="0"/>
    </c:legend>
    <c:plotVisOnly val="1"/>
    <c:dispBlanksAs val="gap"/>
    <c:showDLblsOverMax val="0"/>
  </c:chart>
  <c:spPr>
    <a:ln>
      <a:noFill/>
    </a:ln>
  </c:spPr>
  <c:txPr>
    <a:bodyPr/>
    <a:lstStyle/>
    <a:p>
      <a:pPr>
        <a:defRPr sz="8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chemeClr val="accent1">
                    <a:lumMod val="75000"/>
                  </a:schemeClr>
                </a:solidFill>
                <a:latin typeface="Calibri"/>
                <a:ea typeface="Calibri"/>
                <a:cs typeface="Calibri"/>
              </a:defRPr>
            </a:pPr>
            <a:r>
              <a:rPr lang="fr-FR">
                <a:solidFill>
                  <a:schemeClr val="accent1">
                    <a:lumMod val="75000"/>
                  </a:schemeClr>
                </a:solidFill>
              </a:rPr>
              <a:t>Répartition par type d'accident sur </a:t>
            </a:r>
            <a:r>
              <a:rPr lang="fr-FR" strike="noStrike" baseline="0">
                <a:solidFill>
                  <a:schemeClr val="accent1">
                    <a:lumMod val="75000"/>
                  </a:schemeClr>
                </a:solidFill>
              </a:rPr>
              <a:t>2019 - 2020 et 2021</a:t>
            </a:r>
          </a:p>
        </c:rich>
      </c:tx>
      <c:layout>
        <c:manualLayout>
          <c:xMode val="edge"/>
          <c:yMode val="edge"/>
          <c:x val="0.12394707775689405"/>
          <c:y val="1.1395989294441643E-2"/>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3066908664146691E-2"/>
          <c:y val="0.15232835412727169"/>
          <c:w val="0.62486805058458761"/>
          <c:h val="0.68874434173989152"/>
        </c:manualLayout>
      </c:layout>
      <c:bar3DChart>
        <c:barDir val="col"/>
        <c:grouping val="standard"/>
        <c:varyColors val="0"/>
        <c:ser>
          <c:idx val="0"/>
          <c:order val="0"/>
          <c:tx>
            <c:strRef>
              <c:f>Hygiène_Sécurité!$C$42</c:f>
              <c:strCache>
                <c:ptCount val="1"/>
                <c:pt idx="0">
                  <c:v>Accident trajet</c:v>
                </c:pt>
              </c:strCache>
            </c:strRef>
          </c:tx>
          <c:invertIfNegative val="0"/>
          <c:dLbls>
            <c:dLbl>
              <c:idx val="0"/>
              <c:layout>
                <c:manualLayout>
                  <c:x val="9.0909090909090991E-3"/>
                  <c:y val="7.6506143253832398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99-4D6E-AB87-3C5220D0090B}"/>
                </c:ext>
              </c:extLst>
            </c:dLbl>
            <c:dLbl>
              <c:idx val="1"/>
              <c:layout>
                <c:manualLayout>
                  <c:x val="6.0606060606060623E-3"/>
                  <c:y val="9.2773403324584447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99-4D6E-AB87-3C5220D0090B}"/>
                </c:ext>
              </c:extLst>
            </c:dLbl>
            <c:dLbl>
              <c:idx val="2"/>
              <c:layout>
                <c:manualLayout>
                  <c:x val="6.0605055946953996E-3"/>
                  <c:y val="0.106695380182740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99-4D6E-AB87-3C5220D0090B}"/>
                </c:ext>
              </c:extLst>
            </c:dLbl>
            <c:dLbl>
              <c:idx val="3"/>
              <c:layout>
                <c:manualLayout>
                  <c:x val="6.0606060606060623E-3"/>
                  <c:y val="0.10144927536231893"/>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99-4D6E-AB87-3C5220D0090B}"/>
                </c:ext>
              </c:extLst>
            </c:dLbl>
            <c:spPr>
              <a:noFill/>
              <a:ln w="25400">
                <a:noFill/>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Hygiène_Sécurité!$B$43:$B$45</c:f>
              <c:numCache>
                <c:formatCode>General</c:formatCode>
                <c:ptCount val="3"/>
                <c:pt idx="0">
                  <c:v>2019</c:v>
                </c:pt>
                <c:pt idx="1">
                  <c:v>2020</c:v>
                </c:pt>
                <c:pt idx="2">
                  <c:v>2021</c:v>
                </c:pt>
              </c:numCache>
            </c:numRef>
          </c:cat>
          <c:val>
            <c:numRef>
              <c:f>Hygiène_Sécurité!$C$43:$C$45</c:f>
              <c:numCache>
                <c:formatCode>General</c:formatCode>
                <c:ptCount val="3"/>
                <c:pt idx="0">
                  <c:v>15</c:v>
                </c:pt>
                <c:pt idx="1">
                  <c:v>4</c:v>
                </c:pt>
                <c:pt idx="2">
                  <c:v>18</c:v>
                </c:pt>
              </c:numCache>
            </c:numRef>
          </c:val>
          <c:extLst>
            <c:ext xmlns:c16="http://schemas.microsoft.com/office/drawing/2014/chart" uri="{C3380CC4-5D6E-409C-BE32-E72D297353CC}">
              <c16:uniqueId val="{00000004-1099-4D6E-AB87-3C5220D0090B}"/>
            </c:ext>
          </c:extLst>
        </c:ser>
        <c:ser>
          <c:idx val="1"/>
          <c:order val="1"/>
          <c:tx>
            <c:strRef>
              <c:f>Hygiène_Sécurité!$D$42</c:f>
              <c:strCache>
                <c:ptCount val="1"/>
                <c:pt idx="0">
                  <c:v>Accident service/travail</c:v>
                </c:pt>
              </c:strCache>
            </c:strRef>
          </c:tx>
          <c:invertIfNegative val="0"/>
          <c:dLbls>
            <c:dLbl>
              <c:idx val="0"/>
              <c:layout>
                <c:manualLayout>
                  <c:x val="9.0909090909090991E-3"/>
                  <c:y val="8.0745558979040719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99-4D6E-AB87-3C5220D0090B}"/>
                </c:ext>
              </c:extLst>
            </c:dLbl>
            <c:dLbl>
              <c:idx val="1"/>
              <c:layout>
                <c:manualLayout>
                  <c:x val="9.0909090909091078E-3"/>
                  <c:y val="8.6167831223893987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99-4D6E-AB87-3C5220D0090B}"/>
                </c:ext>
              </c:extLst>
            </c:dLbl>
            <c:dLbl>
              <c:idx val="2"/>
              <c:layout>
                <c:manualLayout>
                  <c:x val="5.8518919952820258E-3"/>
                  <c:y val="9.9542655852229003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99-4D6E-AB87-3C5220D0090B}"/>
                </c:ext>
              </c:extLst>
            </c:dLbl>
            <c:dLbl>
              <c:idx val="3"/>
              <c:layout>
                <c:manualLayout>
                  <c:x val="9.0909090909090991E-3"/>
                  <c:y val="8.0745558979040719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99-4D6E-AB87-3C5220D0090B}"/>
                </c:ext>
              </c:extLst>
            </c:dLbl>
            <c:spPr>
              <a:noFill/>
              <a:ln w="25400">
                <a:noFill/>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Hygiène_Sécurité!$B$43:$B$45</c:f>
              <c:numCache>
                <c:formatCode>General</c:formatCode>
                <c:ptCount val="3"/>
                <c:pt idx="0">
                  <c:v>2019</c:v>
                </c:pt>
                <c:pt idx="1">
                  <c:v>2020</c:v>
                </c:pt>
                <c:pt idx="2">
                  <c:v>2021</c:v>
                </c:pt>
              </c:numCache>
            </c:numRef>
          </c:cat>
          <c:val>
            <c:numRef>
              <c:f>Hygiène_Sécurité!$D$43:$D$45</c:f>
              <c:numCache>
                <c:formatCode>General</c:formatCode>
                <c:ptCount val="3"/>
                <c:pt idx="0">
                  <c:v>12</c:v>
                </c:pt>
                <c:pt idx="1">
                  <c:v>9</c:v>
                </c:pt>
                <c:pt idx="2">
                  <c:v>6</c:v>
                </c:pt>
              </c:numCache>
            </c:numRef>
          </c:val>
          <c:extLst>
            <c:ext xmlns:c16="http://schemas.microsoft.com/office/drawing/2014/chart" uri="{C3380CC4-5D6E-409C-BE32-E72D297353CC}">
              <c16:uniqueId val="{00000009-1099-4D6E-AB87-3C5220D0090B}"/>
            </c:ext>
          </c:extLst>
        </c:ser>
        <c:ser>
          <c:idx val="2"/>
          <c:order val="2"/>
          <c:tx>
            <c:strRef>
              <c:f>Hygiène_Sécurité!$E$42</c:f>
              <c:strCache>
                <c:ptCount val="1"/>
                <c:pt idx="0">
                  <c:v>Total</c:v>
                </c:pt>
              </c:strCache>
            </c:strRef>
          </c:tx>
          <c:invertIfNegative val="0"/>
          <c:dLbls>
            <c:dLbl>
              <c:idx val="0"/>
              <c:layout>
                <c:manualLayout>
                  <c:x val="6.0606060606060623E-3"/>
                  <c:y val="8.1632682212109994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99-4D6E-AB87-3C5220D0090B}"/>
                </c:ext>
              </c:extLst>
            </c:dLbl>
            <c:dLbl>
              <c:idx val="1"/>
              <c:layout>
                <c:manualLayout>
                  <c:x val="9.0909090909091078E-3"/>
                  <c:y val="7.7097533200326238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99-4D6E-AB87-3C5220D0090B}"/>
                </c:ext>
              </c:extLst>
            </c:dLbl>
            <c:dLbl>
              <c:idx val="2"/>
              <c:layout>
                <c:manualLayout>
                  <c:x val="5.8521470241321046E-3"/>
                  <c:y val="9.0703135792236503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99-4D6E-AB87-3C5220D0090B}"/>
                </c:ext>
              </c:extLst>
            </c:dLbl>
            <c:dLbl>
              <c:idx val="3"/>
              <c:layout>
                <c:manualLayout>
                  <c:x val="6.0606060606060623E-3"/>
                  <c:y val="9.6420936513370623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99-4D6E-AB87-3C5220D0090B}"/>
                </c:ext>
              </c:extLst>
            </c:dLbl>
            <c:spPr>
              <a:noFill/>
              <a:ln w="25400">
                <a:noFill/>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Hygiène_Sécurité!$B$43:$B$45</c:f>
              <c:numCache>
                <c:formatCode>General</c:formatCode>
                <c:ptCount val="3"/>
                <c:pt idx="0">
                  <c:v>2019</c:v>
                </c:pt>
                <c:pt idx="1">
                  <c:v>2020</c:v>
                </c:pt>
                <c:pt idx="2">
                  <c:v>2021</c:v>
                </c:pt>
              </c:numCache>
            </c:numRef>
          </c:cat>
          <c:val>
            <c:numRef>
              <c:f>Hygiène_Sécurité!$E$43:$E$45</c:f>
              <c:numCache>
                <c:formatCode>General</c:formatCode>
                <c:ptCount val="3"/>
                <c:pt idx="0">
                  <c:v>27</c:v>
                </c:pt>
                <c:pt idx="1">
                  <c:v>13</c:v>
                </c:pt>
                <c:pt idx="2">
                  <c:v>24</c:v>
                </c:pt>
              </c:numCache>
            </c:numRef>
          </c:val>
          <c:extLst>
            <c:ext xmlns:c16="http://schemas.microsoft.com/office/drawing/2014/chart" uri="{C3380CC4-5D6E-409C-BE32-E72D297353CC}">
              <c16:uniqueId val="{0000000E-1099-4D6E-AB87-3C5220D0090B}"/>
            </c:ext>
          </c:extLst>
        </c:ser>
        <c:dLbls>
          <c:showLegendKey val="0"/>
          <c:showVal val="0"/>
          <c:showCatName val="0"/>
          <c:showSerName val="0"/>
          <c:showPercent val="0"/>
          <c:showBubbleSize val="0"/>
        </c:dLbls>
        <c:gapWidth val="150"/>
        <c:shape val="cylinder"/>
        <c:axId val="324438456"/>
        <c:axId val="324438848"/>
        <c:axId val="325061304"/>
      </c:bar3DChart>
      <c:catAx>
        <c:axId val="32443845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333399"/>
                </a:solidFill>
                <a:latin typeface="Calibri"/>
                <a:ea typeface="Calibri"/>
                <a:cs typeface="Calibri"/>
              </a:defRPr>
            </a:pPr>
            <a:endParaRPr lang="fr-FR"/>
          </a:p>
        </c:txPr>
        <c:crossAx val="324438848"/>
        <c:crosses val="autoZero"/>
        <c:auto val="1"/>
        <c:lblAlgn val="ctr"/>
        <c:lblOffset val="100"/>
        <c:noMultiLvlLbl val="0"/>
      </c:catAx>
      <c:valAx>
        <c:axId val="324438848"/>
        <c:scaling>
          <c:orientation val="minMax"/>
        </c:scaling>
        <c:delete val="0"/>
        <c:axPos val="l"/>
        <c:majorGridlines/>
        <c:numFmt formatCode="General" sourceLinked="1"/>
        <c:majorTickMark val="out"/>
        <c:minorTickMark val="none"/>
        <c:tickLblPos val="nextTo"/>
        <c:txPr>
          <a:bodyPr rot="0" vert="horz"/>
          <a:lstStyle/>
          <a:p>
            <a:pPr>
              <a:defRPr sz="800" b="0" i="0" u="none" strike="noStrike" baseline="0">
                <a:solidFill>
                  <a:srgbClr val="333399"/>
                </a:solidFill>
                <a:latin typeface="Calibri"/>
                <a:ea typeface="Calibri"/>
                <a:cs typeface="Calibri"/>
              </a:defRPr>
            </a:pPr>
            <a:endParaRPr lang="fr-FR"/>
          </a:p>
        </c:txPr>
        <c:crossAx val="324438456"/>
        <c:crosses val="autoZero"/>
        <c:crossBetween val="between"/>
      </c:valAx>
      <c:serAx>
        <c:axId val="32506130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333399"/>
                </a:solidFill>
                <a:latin typeface="Calibri"/>
                <a:ea typeface="Calibri"/>
                <a:cs typeface="Calibri"/>
              </a:defRPr>
            </a:pPr>
            <a:endParaRPr lang="fr-FR"/>
          </a:p>
        </c:txPr>
        <c:crossAx val="324438848"/>
        <c:crosses val="autoZero"/>
        <c:tickLblSkip val="1"/>
        <c:tickMarkSkip val="1"/>
      </c:serAx>
      <c:spPr>
        <a:noFill/>
        <a:ln w="25400">
          <a:noFill/>
        </a:ln>
      </c:spPr>
    </c:plotArea>
    <c:plotVisOnly val="1"/>
    <c:dispBlanksAs val="gap"/>
    <c:showDLblsOverMax val="0"/>
  </c:chart>
  <c:spPr>
    <a:ln>
      <a:noFill/>
    </a:ln>
  </c:spPr>
  <c:txPr>
    <a:bodyPr/>
    <a:lstStyle/>
    <a:p>
      <a:pPr>
        <a:defRPr sz="800" b="0" i="0" u="none" strike="noStrike" baseline="0">
          <a:solidFill>
            <a:srgbClr val="333399"/>
          </a:solidFill>
          <a:latin typeface="Calibri"/>
          <a:ea typeface="Calibri"/>
          <a:cs typeface="Calibri"/>
        </a:defRPr>
      </a:pPr>
      <a:endParaRPr lang="fr-FR"/>
    </a:p>
  </c:txPr>
  <c:printSettings>
    <c:headerFooter/>
    <c:pageMargins b="0.75000000000000078" l="0.70000000000000062" r="0.70000000000000062" t="0.75000000000000078"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chemeClr val="accent1">
                    <a:lumMod val="75000"/>
                  </a:schemeClr>
                </a:solidFill>
                <a:latin typeface="Calibri"/>
                <a:ea typeface="Calibri"/>
                <a:cs typeface="Calibri"/>
              </a:defRPr>
            </a:pPr>
            <a:r>
              <a:rPr lang="fr-FR">
                <a:solidFill>
                  <a:schemeClr val="accent1">
                    <a:lumMod val="75000"/>
                  </a:schemeClr>
                </a:solidFill>
              </a:rPr>
              <a:t>Nb jours d'absence par type d'accident en 2019 - 2020 et 2021</a:t>
            </a:r>
          </a:p>
        </c:rich>
      </c:tx>
      <c:layout>
        <c:manualLayout>
          <c:xMode val="edge"/>
          <c:yMode val="edge"/>
          <c:x val="0.22900402823978547"/>
          <c:y val="5.7256003792477486E-2"/>
        </c:manualLayout>
      </c:layout>
      <c:overlay val="0"/>
    </c:title>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1.1357495754207201E-2"/>
                  <c:y val="-5.3556882975834916E-3"/>
                </c:manualLayout>
              </c:layout>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A0-4E5C-A737-EF002D669AB1}"/>
                </c:ext>
              </c:extLst>
            </c:dLbl>
            <c:dLbl>
              <c:idx val="1"/>
              <c:layout>
                <c:manualLayout>
                  <c:x val="3.9542015804174225E-3"/>
                  <c:y val="-7.5095485945612774E-3"/>
                </c:manualLayout>
              </c:layout>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0-4E5C-A737-EF002D669AB1}"/>
                </c:ext>
              </c:extLst>
            </c:dLbl>
            <c:dLbl>
              <c:idx val="2"/>
              <c:layout>
                <c:manualLayout>
                  <c:x val="3.5159375131584491E-3"/>
                  <c:y val="0"/>
                </c:manualLayout>
              </c:layout>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A0-4E5C-A737-EF002D669AB1}"/>
                </c:ext>
              </c:extLst>
            </c:dLbl>
            <c:dLbl>
              <c:idx val="3"/>
              <c:layout>
                <c:manualLayout>
                  <c:x val="-1.220051370584025E-3"/>
                  <c:y val="3.5801559287846891E-3"/>
                </c:manualLayout>
              </c:layout>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4A0-4E5C-A737-EF002D669AB1}"/>
                </c:ext>
              </c:extLst>
            </c:dLbl>
            <c:dLbl>
              <c:idx val="4"/>
              <c:layout>
                <c:manualLayout>
                  <c:x val="1.3368983957219251E-2"/>
                  <c:y val="-8.2101806239737243E-3"/>
                </c:manualLayout>
              </c:layout>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A0-4E5C-A737-EF002D669AB1}"/>
                </c:ext>
              </c:extLst>
            </c:dLbl>
            <c:dLbl>
              <c:idx val="5"/>
              <c:layout>
                <c:manualLayout>
                  <c:x val="4.4563279857397532E-3"/>
                  <c:y val="-8.230538979237764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4A0-4E5C-A737-EF002D669AB1}"/>
                </c:ext>
              </c:extLst>
            </c:dLbl>
            <c:spPr>
              <a:noFill/>
              <a:ln w="25400">
                <a:noFill/>
              </a:ln>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Hygiène_Sécurité!$J$40:$J$45</c:f>
              <c:strCache>
                <c:ptCount val="6"/>
                <c:pt idx="0">
                  <c:v>Accident trajet 2019</c:v>
                </c:pt>
                <c:pt idx="1">
                  <c:v>Accident trajet 2020</c:v>
                </c:pt>
                <c:pt idx="2">
                  <c:v>Accident trajet 2021</c:v>
                </c:pt>
                <c:pt idx="3">
                  <c:v>Accident service/travail 2019</c:v>
                </c:pt>
                <c:pt idx="4">
                  <c:v>Accident service/travail 2020</c:v>
                </c:pt>
                <c:pt idx="5">
                  <c:v>Accident service/travail 2021</c:v>
                </c:pt>
              </c:strCache>
            </c:strRef>
          </c:cat>
          <c:val>
            <c:numRef>
              <c:f>Hygiène_Sécurité!$K$40:$K$45</c:f>
              <c:numCache>
                <c:formatCode>General</c:formatCode>
                <c:ptCount val="6"/>
                <c:pt idx="0">
                  <c:v>96</c:v>
                </c:pt>
                <c:pt idx="1">
                  <c:v>219</c:v>
                </c:pt>
                <c:pt idx="2">
                  <c:v>7</c:v>
                </c:pt>
                <c:pt idx="3">
                  <c:v>355</c:v>
                </c:pt>
                <c:pt idx="4">
                  <c:v>133</c:v>
                </c:pt>
                <c:pt idx="5">
                  <c:v>227</c:v>
                </c:pt>
              </c:numCache>
            </c:numRef>
          </c:val>
          <c:extLst>
            <c:ext xmlns:c16="http://schemas.microsoft.com/office/drawing/2014/chart" uri="{C3380CC4-5D6E-409C-BE32-E72D297353CC}">
              <c16:uniqueId val="{00000006-54A0-4E5C-A737-EF002D669AB1}"/>
            </c:ext>
          </c:extLst>
        </c:ser>
        <c:dLbls>
          <c:showLegendKey val="0"/>
          <c:showVal val="0"/>
          <c:showCatName val="0"/>
          <c:showSerName val="0"/>
          <c:showPercent val="0"/>
          <c:showBubbleSize val="0"/>
        </c:dLbls>
        <c:gapWidth val="150"/>
        <c:shape val="cylinder"/>
        <c:axId val="325705616"/>
        <c:axId val="325706008"/>
        <c:axId val="0"/>
      </c:bar3DChart>
      <c:catAx>
        <c:axId val="325705616"/>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333399"/>
                </a:solidFill>
                <a:latin typeface="Calibri"/>
                <a:ea typeface="Calibri"/>
                <a:cs typeface="Calibri"/>
              </a:defRPr>
            </a:pPr>
            <a:endParaRPr lang="fr-FR"/>
          </a:p>
        </c:txPr>
        <c:crossAx val="325706008"/>
        <c:crosses val="autoZero"/>
        <c:auto val="1"/>
        <c:lblAlgn val="ctr"/>
        <c:lblOffset val="100"/>
        <c:noMultiLvlLbl val="0"/>
      </c:catAx>
      <c:valAx>
        <c:axId val="325706008"/>
        <c:scaling>
          <c:orientation val="minMax"/>
        </c:scaling>
        <c:delete val="0"/>
        <c:axPos val="b"/>
        <c:majorGridlines/>
        <c:numFmt formatCode="General" sourceLinked="1"/>
        <c:majorTickMark val="none"/>
        <c:minorTickMark val="none"/>
        <c:tickLblPos val="nextTo"/>
        <c:txPr>
          <a:bodyPr rot="0" vert="horz"/>
          <a:lstStyle/>
          <a:p>
            <a:pPr>
              <a:defRPr sz="800" b="0" i="0" u="none" strike="noStrike" baseline="0">
                <a:solidFill>
                  <a:srgbClr val="333399"/>
                </a:solidFill>
                <a:latin typeface="Calibri"/>
                <a:ea typeface="Calibri"/>
                <a:cs typeface="Calibri"/>
              </a:defRPr>
            </a:pPr>
            <a:endParaRPr lang="fr-FR"/>
          </a:p>
        </c:txPr>
        <c:crossAx val="325705616"/>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333399"/>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900" b="1" i="0" u="none" strike="noStrike" baseline="0">
                <a:solidFill>
                  <a:srgbClr val="808080"/>
                </a:solidFill>
                <a:latin typeface="Calibri"/>
                <a:ea typeface="Calibri"/>
                <a:cs typeface="Calibri"/>
              </a:defRPr>
            </a:pPr>
            <a:r>
              <a:rPr lang="fr-FR"/>
              <a:t>Répartition </a:t>
            </a:r>
            <a:r>
              <a:rPr lang="fr-FR">
                <a:solidFill>
                  <a:schemeClr val="bg1">
                    <a:lumMod val="50000"/>
                  </a:schemeClr>
                </a:solidFill>
              </a:rPr>
              <a:t>en 2022 des </a:t>
            </a:r>
            <a:r>
              <a:rPr lang="fr-FR"/>
              <a:t>enseignants</a:t>
            </a:r>
          </a:p>
        </c:rich>
      </c:tx>
      <c:layout>
        <c:manualLayout>
          <c:xMode val="edge"/>
          <c:yMode val="edge"/>
          <c:x val="0.27215599908406668"/>
          <c:y val="2.1856106281988759E-2"/>
        </c:manualLayout>
      </c:layout>
      <c:overlay val="0"/>
    </c:title>
    <c:autoTitleDeleted val="0"/>
    <c:plotArea>
      <c:layout>
        <c:manualLayout>
          <c:layoutTarget val="inner"/>
          <c:xMode val="edge"/>
          <c:yMode val="edge"/>
          <c:x val="3.6925864113487632E-2"/>
          <c:y val="9.2934475982526313E-2"/>
          <c:w val="0.63707211559576615"/>
          <c:h val="0.85740035979440821"/>
        </c:manualLayout>
      </c:layout>
      <c:doughnutChart>
        <c:varyColors val="1"/>
        <c:ser>
          <c:idx val="0"/>
          <c:order val="0"/>
          <c:dLbls>
            <c:dLbl>
              <c:idx val="3"/>
              <c:layout>
                <c:manualLayout>
                  <c:x val="-5.6315226221722772E-3"/>
                  <c:y val="5.3360319396695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B4-4210-96D6-979B104BF589}"/>
                </c:ext>
              </c:extLst>
            </c:dLbl>
            <c:dLbl>
              <c:idx val="4"/>
              <c:layout>
                <c:manualLayout>
                  <c:x val="-1.4180649293838277E-2"/>
                  <c:y val="4.5355070052863114E-2"/>
                </c:manualLayout>
              </c:layout>
              <c:spPr>
                <a:ln w="0">
                  <a:miter lim="800000"/>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B4-4210-96D6-979B104BF589}"/>
                </c:ext>
              </c:extLst>
            </c:dLbl>
            <c:dLbl>
              <c:idx val="6"/>
              <c:layout>
                <c:manualLayout>
                  <c:x val="-2.1971277027871546E-2"/>
                  <c:y val="3.44793168459576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B4-4210-96D6-979B104BF589}"/>
                </c:ext>
              </c:extLst>
            </c:dLbl>
            <c:dLbl>
              <c:idx val="7"/>
              <c:spPr>
                <a:ln w="0">
                  <a:miter lim="800000"/>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6="http://schemas.microsoft.com/office/drawing/2014/chart" uri="{C3380CC4-5D6E-409C-BE32-E72D297353CC}">
                  <c16:uniqueId val="{00000000-0E75-44EB-AB64-96983EDCAFAF}"/>
                </c:ext>
              </c:extLst>
            </c:dLbl>
            <c:dLbl>
              <c:idx val="8"/>
              <c:layout>
                <c:manualLayout>
                  <c:x val="-5.5120778251130924E-2"/>
                  <c:y val="-6.8639930440929911E-3"/>
                </c:manualLayout>
              </c:layout>
              <c:spPr>
                <a:ln w="0">
                  <a:miter lim="800000"/>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B4-4210-96D6-979B104BF589}"/>
                </c:ext>
              </c:extLst>
            </c:dLbl>
            <c:spPr>
              <a:ln w="0">
                <a:miter lim="800000"/>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extLst>
          </c:dLbls>
          <c:cat>
            <c:strRef>
              <c:f>EffectifEns!$W$33:$W$43</c:f>
              <c:strCache>
                <c:ptCount val="11"/>
                <c:pt idx="0">
                  <c:v>PR 13%</c:v>
                </c:pt>
                <c:pt idx="1">
                  <c:v>MCF 34%</c:v>
                </c:pt>
                <c:pt idx="2">
                  <c:v>PUPH 8%</c:v>
                </c:pt>
                <c:pt idx="3">
                  <c:v>MCPH 3%</c:v>
                </c:pt>
                <c:pt idx="4">
                  <c:v>2d degré 20%</c:v>
                </c:pt>
                <c:pt idx="5">
                  <c:v>Enseignants CDD/CDI 5%</c:v>
                </c:pt>
                <c:pt idx="6">
                  <c:v>ATER 3%</c:v>
                </c:pt>
                <c:pt idx="7">
                  <c:v>PAST 2%</c:v>
                </c:pt>
                <c:pt idx="8">
                  <c:v>HU contractuels 8%</c:v>
                </c:pt>
                <c:pt idx="9">
                  <c:v> Lecteurs 1%</c:v>
                </c:pt>
                <c:pt idx="10">
                  <c:v>Chercheurs Contractuels 5%</c:v>
                </c:pt>
              </c:strCache>
            </c:strRef>
          </c:cat>
          <c:val>
            <c:numRef>
              <c:f>EffectifEns!$X$33:$X$43</c:f>
              <c:numCache>
                <c:formatCode>0%</c:formatCode>
                <c:ptCount val="11"/>
                <c:pt idx="0">
                  <c:v>0.13293413173652693</c:v>
                </c:pt>
                <c:pt idx="1">
                  <c:v>0.33772455089820358</c:v>
                </c:pt>
                <c:pt idx="2">
                  <c:v>8.1437125748502995E-2</c:v>
                </c:pt>
                <c:pt idx="3">
                  <c:v>2.6347305389221556E-2</c:v>
                </c:pt>
                <c:pt idx="4">
                  <c:v>0.19640718562874251</c:v>
                </c:pt>
                <c:pt idx="5">
                  <c:v>4.9101796407185629E-2</c:v>
                </c:pt>
                <c:pt idx="6">
                  <c:v>3.2335329341317366E-2</c:v>
                </c:pt>
                <c:pt idx="7">
                  <c:v>1.6766467065868262E-2</c:v>
                </c:pt>
                <c:pt idx="8">
                  <c:v>6.4670658682634732E-2</c:v>
                </c:pt>
                <c:pt idx="9">
                  <c:v>1.0778443113772455E-2</c:v>
                </c:pt>
                <c:pt idx="10">
                  <c:v>5.1497005988023953E-2</c:v>
                </c:pt>
              </c:numCache>
            </c:numRef>
          </c:val>
          <c:extLst>
            <c:ext xmlns:c16="http://schemas.microsoft.com/office/drawing/2014/chart" uri="{C3380CC4-5D6E-409C-BE32-E72D297353CC}">
              <c16:uniqueId val="{0000000A-9DB4-4210-96D6-979B104BF589}"/>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6472460125174897"/>
          <c:y val="0.11098409135375518"/>
          <c:w val="0.3255870032299864"/>
          <c:h val="0.83938930046374882"/>
        </c:manualLayout>
      </c:layout>
      <c:overlay val="0"/>
      <c:txPr>
        <a:bodyPr/>
        <a:lstStyle/>
        <a:p>
          <a:pPr>
            <a:defRPr sz="800" b="0" i="0" u="none" strike="noStrike" baseline="0">
              <a:solidFill>
                <a:schemeClr val="accent1">
                  <a:lumMod val="75000"/>
                </a:schemeClr>
              </a:solidFill>
              <a:latin typeface="Calibri"/>
              <a:ea typeface="Calibri"/>
              <a:cs typeface="Calibri"/>
            </a:defRPr>
          </a:pPr>
          <a:endParaRPr lang="fr-FR"/>
        </a:p>
      </c:txPr>
    </c:legend>
    <c:plotVisOnly val="1"/>
    <c:dispBlanksAs val="zero"/>
    <c:showDLblsOverMax val="0"/>
  </c:chart>
  <c:spPr>
    <a:ln>
      <a:noFill/>
    </a:ln>
  </c:spPr>
  <c:txPr>
    <a:bodyPr/>
    <a:lstStyle/>
    <a:p>
      <a:pPr>
        <a:defRPr sz="1000" b="0" i="0" u="none" strike="noStrike" baseline="0">
          <a:solidFill>
            <a:srgbClr val="000000"/>
          </a:solidFill>
          <a:latin typeface="Georgia"/>
          <a:ea typeface="Georgia"/>
          <a:cs typeface="Georgia"/>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ideWall>
    <c:backWall>
      <c:thickness val="0"/>
    </c:backWall>
    <c:plotArea>
      <c:layout>
        <c:manualLayout>
          <c:layoutTarget val="inner"/>
          <c:xMode val="edge"/>
          <c:yMode val="edge"/>
          <c:x val="3.8156435341325547E-2"/>
          <c:y val="5.9499192394307364E-2"/>
          <c:w val="0.94462798770558809"/>
          <c:h val="0.80624773189524923"/>
        </c:manualLayout>
      </c:layout>
      <c:bar3DChart>
        <c:barDir val="col"/>
        <c:grouping val="clustered"/>
        <c:varyColors val="0"/>
        <c:ser>
          <c:idx val="0"/>
          <c:order val="0"/>
          <c:tx>
            <c:strRef>
              <c:f>Handicap!$F$42</c:f>
              <c:strCache>
                <c:ptCount val="1"/>
                <c:pt idx="0">
                  <c:v>2019</c:v>
                </c:pt>
              </c:strCache>
            </c:strRef>
          </c:tx>
          <c:invertIfNegative val="0"/>
          <c:dLbls>
            <c:dLbl>
              <c:idx val="0"/>
              <c:layout>
                <c:manualLayout>
                  <c:x val="6.4499484004128136E-3"/>
                  <c:y val="8.57449088960343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AC-404A-8435-E4C73FC689BA}"/>
                </c:ext>
              </c:extLst>
            </c:dLbl>
            <c:dLbl>
              <c:idx val="1"/>
              <c:layout>
                <c:manualLayout>
                  <c:x val="1.2503125781445365E-3"/>
                  <c:y val="9.64630225080385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AC-404A-8435-E4C73FC689BA}"/>
                </c:ext>
              </c:extLst>
            </c:dLbl>
            <c:dLbl>
              <c:idx val="2"/>
              <c:layout>
                <c:manualLayout>
                  <c:x val="1.1008428423571072E-4"/>
                  <c:y val="0.103297642921739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7AC-404A-8435-E4C73FC689BA}"/>
                </c:ext>
              </c:extLst>
            </c:dLbl>
            <c:dLbl>
              <c:idx val="3"/>
              <c:layout>
                <c:manualLayout>
                  <c:x val="3.7509377344336096E-3"/>
                  <c:y val="8.57449088960343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AC-404A-8435-E4C73FC689BA}"/>
                </c:ext>
              </c:extLst>
            </c:dLbl>
            <c:dLbl>
              <c:idx val="4"/>
              <c:layout>
                <c:manualLayout>
                  <c:x val="-2.6593086467906692E-3"/>
                  <c:y val="0.107181136120042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7AC-404A-8435-E4C73FC689BA}"/>
                </c:ext>
              </c:extLst>
            </c:dLbl>
            <c:dLbl>
              <c:idx val="5"/>
              <c:layout>
                <c:manualLayout>
                  <c:x val="-2.6990240770987232E-3"/>
                  <c:y val="0.107181136120042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AC-404A-8435-E4C73FC689BA}"/>
                </c:ext>
              </c:extLst>
            </c:dLbl>
            <c:spPr>
              <a:noFill/>
              <a:ln>
                <a:noFill/>
              </a:ln>
              <a:effectLst/>
            </c:spPr>
            <c:txPr>
              <a:bodyPr/>
              <a:lstStyle/>
              <a:p>
                <a:pPr>
                  <a:defRPr sz="9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Handicap!$E$43:$E$48</c:f>
              <c:strCache>
                <c:ptCount val="6"/>
                <c:pt idx="0">
                  <c:v>ENS</c:v>
                </c:pt>
                <c:pt idx="1">
                  <c:v>BIATSS</c:v>
                </c:pt>
                <c:pt idx="2">
                  <c:v>F</c:v>
                </c:pt>
                <c:pt idx="3">
                  <c:v>H</c:v>
                </c:pt>
                <c:pt idx="4">
                  <c:v>Titulaires</c:v>
                </c:pt>
                <c:pt idx="5">
                  <c:v>CDD</c:v>
                </c:pt>
              </c:strCache>
            </c:strRef>
          </c:cat>
          <c:val>
            <c:numRef>
              <c:f>Handicap!$F$43:$F$48</c:f>
              <c:numCache>
                <c:formatCode>General</c:formatCode>
                <c:ptCount val="6"/>
                <c:pt idx="0">
                  <c:v>9</c:v>
                </c:pt>
                <c:pt idx="1">
                  <c:v>36</c:v>
                </c:pt>
                <c:pt idx="2">
                  <c:v>27</c:v>
                </c:pt>
                <c:pt idx="3">
                  <c:v>18</c:v>
                </c:pt>
                <c:pt idx="4">
                  <c:v>30</c:v>
                </c:pt>
                <c:pt idx="5">
                  <c:v>15</c:v>
                </c:pt>
              </c:numCache>
            </c:numRef>
          </c:val>
          <c:extLst>
            <c:ext xmlns:c16="http://schemas.microsoft.com/office/drawing/2014/chart" uri="{C3380CC4-5D6E-409C-BE32-E72D297353CC}">
              <c16:uniqueId val="{00000006-E7AC-404A-8435-E4C73FC689BA}"/>
            </c:ext>
          </c:extLst>
        </c:ser>
        <c:ser>
          <c:idx val="1"/>
          <c:order val="1"/>
          <c:tx>
            <c:strRef>
              <c:f>Handicap!$G$42</c:f>
              <c:strCache>
                <c:ptCount val="1"/>
                <c:pt idx="0">
                  <c:v>2020</c:v>
                </c:pt>
              </c:strCache>
            </c:strRef>
          </c:tx>
          <c:invertIfNegative val="0"/>
          <c:dLbls>
            <c:dLbl>
              <c:idx val="0"/>
              <c:layout>
                <c:manualLayout>
                  <c:x val="5.120243290022186E-3"/>
                  <c:y val="9.6463022508038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7AC-404A-8435-E4C73FC689BA}"/>
                </c:ext>
              </c:extLst>
            </c:dLbl>
            <c:dLbl>
              <c:idx val="1"/>
              <c:layout>
                <c:manualLayout>
                  <c:x val="0"/>
                  <c:y val="0.107181136120042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7AC-404A-8435-E4C73FC689BA}"/>
                </c:ext>
              </c:extLst>
            </c:dLbl>
            <c:dLbl>
              <c:idx val="2"/>
              <c:layout>
                <c:manualLayout>
                  <c:x val="-4.8177163837045062E-3"/>
                  <c:y val="0.119374682980967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7AC-404A-8435-E4C73FC689BA}"/>
                </c:ext>
              </c:extLst>
            </c:dLbl>
            <c:dLbl>
              <c:idx val="3"/>
              <c:layout>
                <c:manualLayout>
                  <c:x val="2.5006251562890731E-3"/>
                  <c:y val="0.101822079314040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7AC-404A-8435-E4C73FC689BA}"/>
                </c:ext>
              </c:extLst>
            </c:dLbl>
            <c:dLbl>
              <c:idx val="4"/>
              <c:layout>
                <c:manualLayout>
                  <c:x val="-1.1904471693360328E-4"/>
                  <c:y val="0.117899249732047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AC-404A-8435-E4C73FC689BA}"/>
                </c:ext>
              </c:extLst>
            </c:dLbl>
            <c:dLbl>
              <c:idx val="5"/>
              <c:layout>
                <c:manualLayout>
                  <c:x val="-3.9492983268732277E-3"/>
                  <c:y val="0.117899249732047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7AC-404A-8435-E4C73FC689BA}"/>
                </c:ext>
              </c:extLst>
            </c:dLbl>
            <c:spPr>
              <a:noFill/>
              <a:ln>
                <a:noFill/>
              </a:ln>
              <a:effectLst/>
            </c:spPr>
            <c:txPr>
              <a:bodyPr/>
              <a:lstStyle/>
              <a:p>
                <a:pPr>
                  <a:defRPr sz="9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Handicap!$E$43:$E$48</c:f>
              <c:strCache>
                <c:ptCount val="6"/>
                <c:pt idx="0">
                  <c:v>ENS</c:v>
                </c:pt>
                <c:pt idx="1">
                  <c:v>BIATSS</c:v>
                </c:pt>
                <c:pt idx="2">
                  <c:v>F</c:v>
                </c:pt>
                <c:pt idx="3">
                  <c:v>H</c:v>
                </c:pt>
                <c:pt idx="4">
                  <c:v>Titulaires</c:v>
                </c:pt>
                <c:pt idx="5">
                  <c:v>CDD</c:v>
                </c:pt>
              </c:strCache>
            </c:strRef>
          </c:cat>
          <c:val>
            <c:numRef>
              <c:f>Handicap!$G$43:$G$48</c:f>
              <c:numCache>
                <c:formatCode>General</c:formatCode>
                <c:ptCount val="6"/>
                <c:pt idx="0">
                  <c:v>9</c:v>
                </c:pt>
                <c:pt idx="1">
                  <c:v>36</c:v>
                </c:pt>
                <c:pt idx="2">
                  <c:v>27</c:v>
                </c:pt>
                <c:pt idx="3">
                  <c:v>18</c:v>
                </c:pt>
                <c:pt idx="4">
                  <c:v>31</c:v>
                </c:pt>
                <c:pt idx="5">
                  <c:v>14</c:v>
                </c:pt>
              </c:numCache>
            </c:numRef>
          </c:val>
          <c:extLst>
            <c:ext xmlns:c16="http://schemas.microsoft.com/office/drawing/2014/chart" uri="{C3380CC4-5D6E-409C-BE32-E72D297353CC}">
              <c16:uniqueId val="{0000000D-E7AC-404A-8435-E4C73FC689BA}"/>
            </c:ext>
          </c:extLst>
        </c:ser>
        <c:ser>
          <c:idx val="2"/>
          <c:order val="2"/>
          <c:tx>
            <c:strRef>
              <c:f>Handicap!$H$42</c:f>
              <c:strCache>
                <c:ptCount val="1"/>
                <c:pt idx="0">
                  <c:v>2021</c:v>
                </c:pt>
              </c:strCache>
            </c:strRef>
          </c:tx>
          <c:invertIfNegative val="0"/>
          <c:dLbls>
            <c:dLbl>
              <c:idx val="0"/>
              <c:layout>
                <c:manualLayout>
                  <c:x val="6.4499484004127998E-3"/>
                  <c:y val="9.110396570203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7AC-404A-8435-E4C73FC689BA}"/>
                </c:ext>
              </c:extLst>
            </c:dLbl>
            <c:dLbl>
              <c:idx val="1"/>
              <c:layout>
                <c:manualLayout>
                  <c:x val="2.5006251562890731E-3"/>
                  <c:y val="9.64630225080385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7AC-404A-8435-E4C73FC689BA}"/>
                </c:ext>
              </c:extLst>
            </c:dLbl>
            <c:dLbl>
              <c:idx val="2"/>
              <c:layout>
                <c:manualLayout>
                  <c:x val="-3.6408083588373072E-3"/>
                  <c:y val="0.125225570127489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7AC-404A-8435-E4C73FC689BA}"/>
                </c:ext>
              </c:extLst>
            </c:dLbl>
            <c:dLbl>
              <c:idx val="3"/>
              <c:layout>
                <c:manualLayout>
                  <c:x val="-1.3693189667081101E-3"/>
                  <c:y val="9.64630225080385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7AC-404A-8435-E4C73FC689BA}"/>
                </c:ext>
              </c:extLst>
            </c:dLbl>
            <c:dLbl>
              <c:idx val="4"/>
              <c:layout>
                <c:manualLayout>
                  <c:x val="-1.4090343970161617E-3"/>
                  <c:y val="0.112540192926045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7AC-404A-8435-E4C73FC689BA}"/>
                </c:ext>
              </c:extLst>
            </c:dLbl>
            <c:dLbl>
              <c:idx val="5"/>
              <c:layout>
                <c:manualLayout>
                  <c:x val="-5.1996741506382914E-3"/>
                  <c:y val="0.112540192926045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7AC-404A-8435-E4C73FC689BA}"/>
                </c:ext>
              </c:extLst>
            </c:dLbl>
            <c:spPr>
              <a:noFill/>
              <a:ln>
                <a:noFill/>
              </a:ln>
              <a:effectLst/>
            </c:spPr>
            <c:txPr>
              <a:bodyPr/>
              <a:lstStyle/>
              <a:p>
                <a:pPr>
                  <a:defRPr sz="9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Handicap!$E$43:$E$48</c:f>
              <c:strCache>
                <c:ptCount val="6"/>
                <c:pt idx="0">
                  <c:v>ENS</c:v>
                </c:pt>
                <c:pt idx="1">
                  <c:v>BIATSS</c:v>
                </c:pt>
                <c:pt idx="2">
                  <c:v>F</c:v>
                </c:pt>
                <c:pt idx="3">
                  <c:v>H</c:v>
                </c:pt>
                <c:pt idx="4">
                  <c:v>Titulaires</c:v>
                </c:pt>
                <c:pt idx="5">
                  <c:v>CDD</c:v>
                </c:pt>
              </c:strCache>
            </c:strRef>
          </c:cat>
          <c:val>
            <c:numRef>
              <c:f>Handicap!$H$43:$H$48</c:f>
              <c:numCache>
                <c:formatCode>General</c:formatCode>
                <c:ptCount val="6"/>
                <c:pt idx="0">
                  <c:v>12</c:v>
                </c:pt>
                <c:pt idx="1">
                  <c:v>35</c:v>
                </c:pt>
                <c:pt idx="2">
                  <c:v>28</c:v>
                </c:pt>
                <c:pt idx="3">
                  <c:v>19</c:v>
                </c:pt>
                <c:pt idx="4">
                  <c:v>29</c:v>
                </c:pt>
                <c:pt idx="5">
                  <c:v>18</c:v>
                </c:pt>
              </c:numCache>
            </c:numRef>
          </c:val>
          <c:extLst>
            <c:ext xmlns:c16="http://schemas.microsoft.com/office/drawing/2014/chart" uri="{C3380CC4-5D6E-409C-BE32-E72D297353CC}">
              <c16:uniqueId val="{00000014-E7AC-404A-8435-E4C73FC689BA}"/>
            </c:ext>
          </c:extLst>
        </c:ser>
        <c:dLbls>
          <c:showLegendKey val="0"/>
          <c:showVal val="1"/>
          <c:showCatName val="0"/>
          <c:showSerName val="0"/>
          <c:showPercent val="0"/>
          <c:showBubbleSize val="0"/>
        </c:dLbls>
        <c:gapWidth val="150"/>
        <c:shape val="cylinder"/>
        <c:axId val="325706792"/>
        <c:axId val="325707184"/>
        <c:axId val="0"/>
      </c:bar3DChart>
      <c:catAx>
        <c:axId val="325706792"/>
        <c:scaling>
          <c:orientation val="minMax"/>
        </c:scaling>
        <c:delete val="0"/>
        <c:axPos val="b"/>
        <c:numFmt formatCode="General" sourceLinked="0"/>
        <c:majorTickMark val="none"/>
        <c:minorTickMark val="none"/>
        <c:tickLblPos val="nextTo"/>
        <c:txPr>
          <a:bodyPr/>
          <a:lstStyle/>
          <a:p>
            <a:pPr>
              <a:defRPr sz="900"/>
            </a:pPr>
            <a:endParaRPr lang="fr-FR"/>
          </a:p>
        </c:txPr>
        <c:crossAx val="325707184"/>
        <c:crosses val="autoZero"/>
        <c:auto val="1"/>
        <c:lblAlgn val="ctr"/>
        <c:lblOffset val="100"/>
        <c:noMultiLvlLbl val="0"/>
      </c:catAx>
      <c:valAx>
        <c:axId val="325707184"/>
        <c:scaling>
          <c:orientation val="minMax"/>
        </c:scaling>
        <c:delete val="0"/>
        <c:axPos val="l"/>
        <c:majorGridlines/>
        <c:numFmt formatCode="General" sourceLinked="1"/>
        <c:majorTickMark val="none"/>
        <c:minorTickMark val="none"/>
        <c:tickLblPos val="nextTo"/>
        <c:txPr>
          <a:bodyPr/>
          <a:lstStyle/>
          <a:p>
            <a:pPr>
              <a:defRPr sz="900"/>
            </a:pPr>
            <a:endParaRPr lang="fr-FR"/>
          </a:p>
        </c:txPr>
        <c:crossAx val="325706792"/>
        <c:crosses val="autoZero"/>
        <c:crossBetween val="between"/>
      </c:valAx>
    </c:plotArea>
    <c:legend>
      <c:legendPos val="r"/>
      <c:layout>
        <c:manualLayout>
          <c:xMode val="edge"/>
          <c:yMode val="edge"/>
          <c:x val="0.94725394716527311"/>
          <c:y val="4.3591496400570501E-2"/>
          <c:w val="4.1168744100017717E-2"/>
          <c:h val="0.29672406464645346"/>
        </c:manualLayout>
      </c:layout>
      <c:overlay val="0"/>
      <c:txPr>
        <a:bodyPr/>
        <a:lstStyle/>
        <a:p>
          <a:pPr>
            <a:defRPr sz="900"/>
          </a:pPr>
          <a:endParaRPr lang="fr-FR"/>
        </a:p>
      </c:txPr>
    </c:legend>
    <c:plotVisOnly val="1"/>
    <c:dispBlanksAs val="zero"/>
    <c:showDLblsOverMax val="0"/>
  </c:chart>
  <c:spPr>
    <a:ln>
      <a:noFill/>
    </a:ln>
  </c:spPr>
  <c:txPr>
    <a:bodyPr/>
    <a:lstStyle/>
    <a:p>
      <a:pPr>
        <a:defRPr sz="1000">
          <a:solidFill>
            <a:schemeClr val="accent1">
              <a:lumMod val="50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Comparaison de la progression du nombre de promotions Femmes/Hommes</a:t>
            </a:r>
          </a:p>
        </c:rich>
      </c:tx>
      <c:overlay val="0"/>
    </c:title>
    <c:autoTitleDeleted val="0"/>
    <c:plotArea>
      <c:layout/>
      <c:lineChart>
        <c:grouping val="standard"/>
        <c:varyColors val="0"/>
        <c:ser>
          <c:idx val="0"/>
          <c:order val="0"/>
          <c:tx>
            <c:strRef>
              <c:f>PromosEC!$AA$30</c:f>
              <c:strCache>
                <c:ptCount val="1"/>
                <c:pt idx="0">
                  <c:v>F</c:v>
                </c:pt>
              </c:strCache>
            </c:strRef>
          </c:tx>
          <c:marker>
            <c:symbol val="none"/>
          </c:marker>
          <c:cat>
            <c:numRef>
              <c:f>PromosEC!$Z$31:$Z$35</c:f>
              <c:numCache>
                <c:formatCode>General</c:formatCode>
                <c:ptCount val="5"/>
                <c:pt idx="0">
                  <c:v>2018</c:v>
                </c:pt>
                <c:pt idx="1">
                  <c:v>2019</c:v>
                </c:pt>
                <c:pt idx="2">
                  <c:v>2020</c:v>
                </c:pt>
                <c:pt idx="3">
                  <c:v>2021</c:v>
                </c:pt>
                <c:pt idx="4">
                  <c:v>2022</c:v>
                </c:pt>
              </c:numCache>
            </c:numRef>
          </c:cat>
          <c:val>
            <c:numRef>
              <c:f>PromosEC!$AA$31:$AA$35</c:f>
              <c:numCache>
                <c:formatCode>General</c:formatCode>
                <c:ptCount val="5"/>
                <c:pt idx="0">
                  <c:v>13</c:v>
                </c:pt>
                <c:pt idx="1">
                  <c:v>9</c:v>
                </c:pt>
                <c:pt idx="2">
                  <c:v>16</c:v>
                </c:pt>
                <c:pt idx="3">
                  <c:v>15</c:v>
                </c:pt>
                <c:pt idx="4">
                  <c:v>12</c:v>
                </c:pt>
              </c:numCache>
            </c:numRef>
          </c:val>
          <c:smooth val="0"/>
          <c:extLst>
            <c:ext xmlns:c16="http://schemas.microsoft.com/office/drawing/2014/chart" uri="{C3380CC4-5D6E-409C-BE32-E72D297353CC}">
              <c16:uniqueId val="{00000000-2296-4E37-8351-A9D43E01C16D}"/>
            </c:ext>
          </c:extLst>
        </c:ser>
        <c:ser>
          <c:idx val="1"/>
          <c:order val="1"/>
          <c:tx>
            <c:strRef>
              <c:f>PromosEC!$AB$30</c:f>
              <c:strCache>
                <c:ptCount val="1"/>
                <c:pt idx="0">
                  <c:v>H</c:v>
                </c:pt>
              </c:strCache>
            </c:strRef>
          </c:tx>
          <c:marker>
            <c:symbol val="none"/>
          </c:marker>
          <c:cat>
            <c:numRef>
              <c:f>PromosEC!$Z$31:$Z$35</c:f>
              <c:numCache>
                <c:formatCode>General</c:formatCode>
                <c:ptCount val="5"/>
                <c:pt idx="0">
                  <c:v>2018</c:v>
                </c:pt>
                <c:pt idx="1">
                  <c:v>2019</c:v>
                </c:pt>
                <c:pt idx="2">
                  <c:v>2020</c:v>
                </c:pt>
                <c:pt idx="3">
                  <c:v>2021</c:v>
                </c:pt>
                <c:pt idx="4">
                  <c:v>2022</c:v>
                </c:pt>
              </c:numCache>
            </c:numRef>
          </c:cat>
          <c:val>
            <c:numRef>
              <c:f>PromosEC!$AB$31:$AB$35</c:f>
              <c:numCache>
                <c:formatCode>General</c:formatCode>
                <c:ptCount val="5"/>
                <c:pt idx="0">
                  <c:v>22</c:v>
                </c:pt>
                <c:pt idx="1">
                  <c:v>15</c:v>
                </c:pt>
                <c:pt idx="2">
                  <c:v>14</c:v>
                </c:pt>
                <c:pt idx="3">
                  <c:v>15</c:v>
                </c:pt>
                <c:pt idx="4">
                  <c:v>16</c:v>
                </c:pt>
              </c:numCache>
            </c:numRef>
          </c:val>
          <c:smooth val="0"/>
          <c:extLst>
            <c:ext xmlns:c16="http://schemas.microsoft.com/office/drawing/2014/chart" uri="{C3380CC4-5D6E-409C-BE32-E72D297353CC}">
              <c16:uniqueId val="{00000001-2296-4E37-8351-A9D43E01C16D}"/>
            </c:ext>
          </c:extLst>
        </c:ser>
        <c:dLbls>
          <c:showLegendKey val="0"/>
          <c:showVal val="0"/>
          <c:showCatName val="0"/>
          <c:showSerName val="0"/>
          <c:showPercent val="0"/>
          <c:showBubbleSize val="0"/>
        </c:dLbls>
        <c:smooth val="0"/>
        <c:axId val="203709208"/>
        <c:axId val="203711560"/>
      </c:lineChart>
      <c:catAx>
        <c:axId val="203709208"/>
        <c:scaling>
          <c:orientation val="minMax"/>
        </c:scaling>
        <c:delete val="0"/>
        <c:axPos val="b"/>
        <c:numFmt formatCode="General" sourceLinked="1"/>
        <c:majorTickMark val="out"/>
        <c:minorTickMark val="none"/>
        <c:tickLblPos val="nextTo"/>
        <c:txPr>
          <a:bodyPr rot="0" vert="horz"/>
          <a:lstStyle/>
          <a:p>
            <a:pPr>
              <a:defRPr/>
            </a:pPr>
            <a:endParaRPr lang="fr-FR"/>
          </a:p>
        </c:txPr>
        <c:crossAx val="203711560"/>
        <c:crosses val="autoZero"/>
        <c:auto val="1"/>
        <c:lblAlgn val="ctr"/>
        <c:lblOffset val="100"/>
        <c:noMultiLvlLbl val="0"/>
      </c:catAx>
      <c:valAx>
        <c:axId val="203711560"/>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203709208"/>
        <c:crosses val="autoZero"/>
        <c:crossBetween val="between"/>
      </c:valAx>
    </c:plotArea>
    <c:legend>
      <c:legendPos val="r"/>
      <c:layout>
        <c:manualLayout>
          <c:xMode val="edge"/>
          <c:yMode val="edge"/>
          <c:x val="0.83123458749016577"/>
          <c:y val="0.50902527075812298"/>
          <c:w val="0.15793961288922023"/>
          <c:h val="0.18490102997053171"/>
        </c:manualLayout>
      </c:layout>
      <c:overlay val="0"/>
    </c:legend>
    <c:plotVisOnly val="1"/>
    <c:dispBlanksAs val="gap"/>
    <c:showDLblsOverMax val="0"/>
  </c:chart>
  <c:spPr>
    <a:ln>
      <a:solidFill>
        <a:schemeClr val="accent1"/>
      </a:solidFill>
    </a:ln>
  </c:spPr>
  <c:txPr>
    <a:bodyPr/>
    <a:lstStyle/>
    <a:p>
      <a:pPr>
        <a:defRPr sz="900" b="0" i="0" u="none" strike="noStrike" baseline="0">
          <a:solidFill>
            <a:schemeClr val="accent1">
              <a:lumMod val="75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Progression du nombre de promotions</a:t>
            </a:r>
          </a:p>
        </c:rich>
      </c:tx>
      <c:overlay val="0"/>
    </c:title>
    <c:autoTitleDeleted val="0"/>
    <c:plotArea>
      <c:layout/>
      <c:lineChart>
        <c:grouping val="standard"/>
        <c:varyColors val="0"/>
        <c:ser>
          <c:idx val="0"/>
          <c:order val="0"/>
          <c:marker>
            <c:symbol val="none"/>
          </c:marker>
          <c:cat>
            <c:numRef>
              <c:f>PromosEC!$E$29:$E$33</c:f>
              <c:numCache>
                <c:formatCode>General</c:formatCode>
                <c:ptCount val="5"/>
                <c:pt idx="0">
                  <c:v>2018</c:v>
                </c:pt>
                <c:pt idx="1">
                  <c:v>2019</c:v>
                </c:pt>
                <c:pt idx="2">
                  <c:v>2020</c:v>
                </c:pt>
                <c:pt idx="3">
                  <c:v>2021</c:v>
                </c:pt>
                <c:pt idx="4">
                  <c:v>2022</c:v>
                </c:pt>
              </c:numCache>
            </c:numRef>
          </c:cat>
          <c:val>
            <c:numRef>
              <c:f>PromosEC!$F$29:$F$33</c:f>
              <c:numCache>
                <c:formatCode>General</c:formatCode>
                <c:ptCount val="5"/>
                <c:pt idx="0">
                  <c:v>35</c:v>
                </c:pt>
                <c:pt idx="1">
                  <c:v>24</c:v>
                </c:pt>
                <c:pt idx="2">
                  <c:v>30</c:v>
                </c:pt>
                <c:pt idx="3">
                  <c:v>30</c:v>
                </c:pt>
                <c:pt idx="4">
                  <c:v>28</c:v>
                </c:pt>
              </c:numCache>
            </c:numRef>
          </c:val>
          <c:smooth val="0"/>
          <c:extLst>
            <c:ext xmlns:c16="http://schemas.microsoft.com/office/drawing/2014/chart" uri="{C3380CC4-5D6E-409C-BE32-E72D297353CC}">
              <c16:uniqueId val="{00000000-A91E-47B6-871C-1C1C38184741}"/>
            </c:ext>
          </c:extLst>
        </c:ser>
        <c:dLbls>
          <c:showLegendKey val="0"/>
          <c:showVal val="0"/>
          <c:showCatName val="0"/>
          <c:showSerName val="0"/>
          <c:showPercent val="0"/>
          <c:showBubbleSize val="0"/>
        </c:dLbls>
        <c:smooth val="0"/>
        <c:axId val="203709992"/>
        <c:axId val="203710776"/>
      </c:lineChart>
      <c:catAx>
        <c:axId val="203709992"/>
        <c:scaling>
          <c:orientation val="minMax"/>
        </c:scaling>
        <c:delete val="0"/>
        <c:axPos val="b"/>
        <c:numFmt formatCode="General" sourceLinked="1"/>
        <c:majorTickMark val="out"/>
        <c:minorTickMark val="none"/>
        <c:tickLblPos val="nextTo"/>
        <c:txPr>
          <a:bodyPr rot="0" vert="horz"/>
          <a:lstStyle/>
          <a:p>
            <a:pPr>
              <a:defRPr/>
            </a:pPr>
            <a:endParaRPr lang="fr-FR"/>
          </a:p>
        </c:txPr>
        <c:crossAx val="203710776"/>
        <c:crosses val="autoZero"/>
        <c:auto val="1"/>
        <c:lblAlgn val="ctr"/>
        <c:lblOffset val="100"/>
        <c:noMultiLvlLbl val="0"/>
      </c:catAx>
      <c:valAx>
        <c:axId val="203710776"/>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203709992"/>
        <c:crosses val="autoZero"/>
        <c:crossBetween val="between"/>
      </c:valAx>
    </c:plotArea>
    <c:plotVisOnly val="1"/>
    <c:dispBlanksAs val="gap"/>
    <c:showDLblsOverMax val="0"/>
  </c:chart>
  <c:spPr>
    <a:ln>
      <a:solidFill>
        <a:schemeClr val="accent1"/>
      </a:solidFill>
    </a:ln>
  </c:spPr>
  <c:txPr>
    <a:bodyPr/>
    <a:lstStyle/>
    <a:p>
      <a:pPr>
        <a:defRPr sz="900" b="0" i="0" u="none" strike="noStrike" baseline="0">
          <a:solidFill>
            <a:schemeClr val="accent1">
              <a:lumMod val="75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fr-FR"/>
              <a:t>Répartition en 2022 des personnels BIATSS</a:t>
            </a:r>
          </a:p>
        </c:rich>
      </c:tx>
      <c:overlay val="0"/>
    </c:title>
    <c:autoTitleDeleted val="0"/>
    <c:plotArea>
      <c:layout>
        <c:manualLayout>
          <c:layoutTarget val="inner"/>
          <c:xMode val="edge"/>
          <c:yMode val="edge"/>
          <c:x val="0.30884752122747683"/>
          <c:y val="0.23258350718980642"/>
          <c:w val="0.31886830620160944"/>
          <c:h val="0.70723355093433837"/>
        </c:manualLayout>
      </c:layout>
      <c:doughnutChart>
        <c:varyColors val="1"/>
        <c:ser>
          <c:idx val="0"/>
          <c:order val="0"/>
          <c:dLbls>
            <c:dLbl>
              <c:idx val="4"/>
              <c:layout>
                <c:manualLayout>
                  <c:x val="6.4226075786769426E-3"/>
                  <c:y val="-7.12250712250712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06-4994-9E2E-B94E5CA63294}"/>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extLst>
          </c:dLbls>
          <c:cat>
            <c:strRef>
              <c:f>EffectifBIATSS!$N$31:$N$35</c:f>
              <c:strCache>
                <c:ptCount val="5"/>
                <c:pt idx="0">
                  <c:v>ITRF</c:v>
                </c:pt>
                <c:pt idx="1">
                  <c:v>AENES</c:v>
                </c:pt>
                <c:pt idx="2">
                  <c:v>BU</c:v>
                </c:pt>
                <c:pt idx="3">
                  <c:v> Contractuels</c:v>
                </c:pt>
                <c:pt idx="4">
                  <c:v>Mis à disposition</c:v>
                </c:pt>
              </c:strCache>
            </c:strRef>
          </c:cat>
          <c:val>
            <c:numRef>
              <c:f>EffectifBIATSS!$O$31:$O$35</c:f>
              <c:numCache>
                <c:formatCode>0%</c:formatCode>
                <c:ptCount val="5"/>
                <c:pt idx="0">
                  <c:v>0.45454545454545453</c:v>
                </c:pt>
                <c:pt idx="1">
                  <c:v>0.11755485893416928</c:v>
                </c:pt>
                <c:pt idx="2">
                  <c:v>6.7398119122257058E-2</c:v>
                </c:pt>
                <c:pt idx="3">
                  <c:v>0.32288401253918497</c:v>
                </c:pt>
                <c:pt idx="4">
                  <c:v>3.7617554858934171E-2</c:v>
                </c:pt>
              </c:numCache>
            </c:numRef>
          </c:val>
          <c:extLst>
            <c:ext xmlns:c16="http://schemas.microsoft.com/office/drawing/2014/chart" uri="{C3380CC4-5D6E-409C-BE32-E72D297353CC}">
              <c16:uniqueId val="{00000005-6306-4994-9E2E-B94E5CA63294}"/>
            </c:ext>
          </c:extLst>
        </c:ser>
        <c:dLbls>
          <c:showLegendKey val="0"/>
          <c:showVal val="1"/>
          <c:showCatName val="0"/>
          <c:showSerName val="0"/>
          <c:showPercent val="0"/>
          <c:showBubbleSize val="0"/>
          <c:showLeaderLines val="0"/>
        </c:dLbls>
        <c:firstSliceAng val="0"/>
        <c:holeSize val="50"/>
      </c:doughnutChart>
      <c:spPr>
        <a:noFill/>
        <a:ln w="25400">
          <a:noFill/>
        </a:ln>
      </c:spPr>
    </c:plotArea>
    <c:legend>
      <c:legendPos val="r"/>
      <c:legendEntry>
        <c:idx val="0"/>
        <c:txPr>
          <a:bodyPr/>
          <a:lstStyle/>
          <a:p>
            <a:pPr>
              <a:defRPr>
                <a:solidFill>
                  <a:schemeClr val="bg1">
                    <a:lumMod val="50000"/>
                  </a:schemeClr>
                </a:solidFill>
              </a:defRPr>
            </a:pPr>
            <a:endParaRPr lang="fr-FR"/>
          </a:p>
        </c:txPr>
      </c:legendEntry>
      <c:legendEntry>
        <c:idx val="1"/>
        <c:txPr>
          <a:bodyPr/>
          <a:lstStyle/>
          <a:p>
            <a:pPr>
              <a:defRPr>
                <a:solidFill>
                  <a:schemeClr val="bg1">
                    <a:lumMod val="50000"/>
                  </a:schemeClr>
                </a:solidFill>
              </a:defRPr>
            </a:pPr>
            <a:endParaRPr lang="fr-FR"/>
          </a:p>
        </c:txPr>
      </c:legendEntry>
      <c:legendEntry>
        <c:idx val="3"/>
        <c:txPr>
          <a:bodyPr/>
          <a:lstStyle/>
          <a:p>
            <a:pPr>
              <a:defRPr>
                <a:solidFill>
                  <a:schemeClr val="bg1">
                    <a:lumMod val="50000"/>
                  </a:schemeClr>
                </a:solidFill>
              </a:defRPr>
            </a:pPr>
            <a:endParaRPr lang="fr-FR"/>
          </a:p>
        </c:txPr>
      </c:legendEntry>
      <c:legendEntry>
        <c:idx val="4"/>
        <c:txPr>
          <a:bodyPr/>
          <a:lstStyle/>
          <a:p>
            <a:pPr>
              <a:defRPr>
                <a:solidFill>
                  <a:schemeClr val="bg1">
                    <a:lumMod val="50000"/>
                  </a:schemeClr>
                </a:solidFill>
              </a:defRPr>
            </a:pPr>
            <a:endParaRPr lang="fr-FR"/>
          </a:p>
        </c:txPr>
      </c:legendEntry>
      <c:layout>
        <c:manualLayout>
          <c:xMode val="edge"/>
          <c:yMode val="edge"/>
          <c:x val="0.71792539660866128"/>
          <c:y val="0.24568106871256479"/>
          <c:w val="0.25384673736592189"/>
          <c:h val="0.68122967000919799"/>
        </c:manualLayout>
      </c:layout>
      <c:overlay val="0"/>
      <c:txPr>
        <a:bodyPr/>
        <a:lstStyle/>
        <a:p>
          <a:pPr>
            <a:defRPr>
              <a:solidFill>
                <a:schemeClr val="bg1">
                  <a:lumMod val="50000"/>
                </a:schemeClr>
              </a:solidFill>
            </a:defRPr>
          </a:pPr>
          <a:endParaRPr lang="fr-FR"/>
        </a:p>
      </c:txPr>
    </c:legend>
    <c:plotVisOnly val="1"/>
    <c:dispBlanksAs val="zero"/>
    <c:showDLblsOverMax val="0"/>
  </c:chart>
  <c:spPr>
    <a:solidFill>
      <a:schemeClr val="bg1"/>
    </a:solidFill>
    <a:ln>
      <a:noFill/>
    </a:ln>
  </c:spPr>
  <c:txPr>
    <a:bodyPr/>
    <a:lstStyle/>
    <a:p>
      <a:pPr>
        <a:defRPr sz="900" b="0" i="0" u="none" strike="noStrike" baseline="0">
          <a:solidFill>
            <a:schemeClr val="bg1">
              <a:lumMod val="50000"/>
            </a:schemeClr>
          </a:solidFill>
          <a:latin typeface="Calibri" panose="020F0502020204030204" pitchFamily="34" charset="0"/>
          <a:ea typeface="Georgia"/>
          <a:cs typeface="Georgia"/>
        </a:defRPr>
      </a:pPr>
      <a:endParaRPr lang="fr-FR"/>
    </a:p>
  </c:txPr>
  <c:printSettings>
    <c:headerFooter/>
    <c:pageMargins b="0.35433070866141736" l="0.31496062992126006" r="0.31496062992126006" t="0.35433070866141736" header="0.31496062992126006" footer="0.31496062992126006"/>
    <c:pageSetup paperSize="9" orientation="landscape" horizontalDpi="-3"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Répartition par catégories des personnels titulaires</a:t>
            </a:r>
          </a:p>
        </c:rich>
      </c:tx>
      <c:layout>
        <c:manualLayout>
          <c:xMode val="edge"/>
          <c:yMode val="edge"/>
          <c:x val="2.8280073699880854E-2"/>
          <c:y val="3.5276085772297329E-2"/>
        </c:manualLayout>
      </c:layout>
      <c:overlay val="0"/>
    </c:title>
    <c:autoTitleDeleted val="0"/>
    <c:plotArea>
      <c:layout>
        <c:manualLayout>
          <c:layoutTarget val="inner"/>
          <c:xMode val="edge"/>
          <c:yMode val="edge"/>
          <c:x val="8.0967971787031801E-2"/>
          <c:y val="0.25280943500483505"/>
          <c:w val="0.55327227137844881"/>
          <c:h val="0.70615013583828334"/>
        </c:manualLayout>
      </c:layout>
      <c:doughnutChart>
        <c:varyColors val="1"/>
        <c:ser>
          <c:idx val="0"/>
          <c:order val="0"/>
          <c:dLbls>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extLst>
          </c:dLbls>
          <c:cat>
            <c:strRef>
              <c:f>EffectifBIATSS!$M$14:$M$16</c:f>
              <c:strCache>
                <c:ptCount val="3"/>
                <c:pt idx="0">
                  <c:v>Cat. A</c:v>
                </c:pt>
                <c:pt idx="1">
                  <c:v>Cat. B</c:v>
                </c:pt>
                <c:pt idx="2">
                  <c:v>Cat. C</c:v>
                </c:pt>
              </c:strCache>
            </c:strRef>
          </c:cat>
          <c:val>
            <c:numRef>
              <c:f>EffectifBIATSS!$O$14:$O$16</c:f>
              <c:numCache>
                <c:formatCode>0%</c:formatCode>
                <c:ptCount val="3"/>
                <c:pt idx="0">
                  <c:v>0.33214829862874562</c:v>
                </c:pt>
                <c:pt idx="1">
                  <c:v>0.34179786693753178</c:v>
                </c:pt>
                <c:pt idx="2">
                  <c:v>0.32605383443372277</c:v>
                </c:pt>
              </c:numCache>
            </c:numRef>
          </c:val>
          <c:extLst>
            <c:ext xmlns:c16="http://schemas.microsoft.com/office/drawing/2014/chart" uri="{C3380CC4-5D6E-409C-BE32-E72D297353CC}">
              <c16:uniqueId val="{00000003-8935-4A54-86D9-521772A8436A}"/>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67314119674990902"/>
          <c:y val="0.45420739860347648"/>
          <c:w val="0.19338534298071872"/>
          <c:h val="0.37564635682152614"/>
        </c:manualLayout>
      </c:layout>
      <c:overlay val="0"/>
    </c:legend>
    <c:plotVisOnly val="1"/>
    <c:dispBlanksAs val="zero"/>
    <c:showDLblsOverMax val="0"/>
  </c:chart>
  <c:spPr>
    <a:ln>
      <a:noFill/>
    </a:ln>
  </c:spPr>
  <c:txPr>
    <a:bodyPr/>
    <a:lstStyle/>
    <a:p>
      <a:pPr>
        <a:defRPr sz="800" b="0" i="0" u="none" strike="noStrike" baseline="0">
          <a:solidFill>
            <a:schemeClr val="bg1">
              <a:lumMod val="50000"/>
            </a:schemeClr>
          </a:solidFill>
          <a:latin typeface="Calibri" panose="020F0502020204030204" pitchFamily="34" charset="0"/>
          <a:ea typeface="Georgia"/>
          <a:cs typeface="Georgia"/>
        </a:defRPr>
      </a:pPr>
      <a:endParaRPr lang="fr-FR"/>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2.2250209907640648E-3"/>
                  <c:y val="1.0926758289205152E-16"/>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87-4D58-9E46-562D8BBDF948}"/>
                </c:ext>
              </c:extLst>
            </c:dLbl>
            <c:dLbl>
              <c:idx val="1"/>
              <c:layout>
                <c:manualLayout>
                  <c:x val="-1.2594458438287164E-4"/>
                  <c:y val="-1.7880356480807949E-2"/>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87-4D58-9E46-562D8BBDF948}"/>
                </c:ext>
              </c:extLst>
            </c:dLbl>
            <c:dLbl>
              <c:idx val="2"/>
              <c:layout>
                <c:manualLayout>
                  <c:x val="1.27636143384174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87-4D58-9E46-562D8BBDF948}"/>
                </c:ext>
              </c:extLst>
            </c:dLbl>
            <c:dLbl>
              <c:idx val="3"/>
              <c:layout>
                <c:manualLayout>
                  <c:x val="4.536547287821076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87-4D58-9E46-562D8BBDF948}"/>
                </c:ext>
              </c:extLst>
            </c:dLbl>
            <c:dLbl>
              <c:idx val="4"/>
              <c:layout>
                <c:manualLayout>
                  <c:x val="-2.7777777777777809E-3"/>
                  <c:y val="-9.2592592592592657E-3"/>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87-4D58-9E46-562D8BBDF948}"/>
                </c:ext>
              </c:extLst>
            </c:dLbl>
            <c:dLbl>
              <c:idx val="5"/>
              <c:layout>
                <c:manualLayout>
                  <c:x val="0"/>
                  <c:y val="-9.2592592592592657E-3"/>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87-4D58-9E46-562D8BBDF948}"/>
                </c:ext>
              </c:extLst>
            </c:dLbl>
            <c:dLbl>
              <c:idx val="6"/>
              <c:layout>
                <c:manualLayout>
                  <c:x val="-8.677284357088E-4"/>
                  <c:y val="0"/>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187-4D58-9E46-562D8BBDF948}"/>
                </c:ext>
              </c:extLst>
            </c:dLbl>
            <c:spPr>
              <a:noFill/>
              <a:ln w="25400">
                <a:noFill/>
              </a:ln>
            </c:spPr>
            <c:txPr>
              <a:bodyPr wrap="square" lIns="38100" tIns="19050" rIns="38100" bIns="19050" anchor="ctr">
                <a:spAutoFit/>
              </a:bodyPr>
              <a:lstStyle/>
              <a:p>
                <a:pPr>
                  <a:defRPr>
                    <a:solidFill>
                      <a:schemeClr val="tx1">
                        <a:lumMod val="75000"/>
                        <a:lumOff val="2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CDI_ContratsEtudiants!$F$39:$F$46</c:f>
              <c:strCache>
                <c:ptCount val="8"/>
                <c:pt idx="0">
                  <c:v>Aide insertion professionnelle</c:v>
                </c:pt>
                <c:pt idx="1">
                  <c:v>Soutien informatique</c:v>
                </c:pt>
                <c:pt idx="2">
                  <c:v>Appui aux personnels bibliothèque</c:v>
                </c:pt>
                <c:pt idx="3">
                  <c:v>Promotion offre de formation</c:v>
                </c:pt>
                <c:pt idx="4">
                  <c:v>Tutorat</c:v>
                </c:pt>
                <c:pt idx="5">
                  <c:v>Accueil et assistance étudiants handicapés</c:v>
                </c:pt>
                <c:pt idx="6">
                  <c:v>Tutorat PRL</c:v>
                </c:pt>
                <c:pt idx="7">
                  <c:v>Accueil des étudiants</c:v>
                </c:pt>
              </c:strCache>
            </c:strRef>
          </c:cat>
          <c:val>
            <c:numRef>
              <c:f>CDI_ContratsEtudiants!$G$39:$G$46</c:f>
              <c:numCache>
                <c:formatCode>General</c:formatCode>
                <c:ptCount val="8"/>
                <c:pt idx="0">
                  <c:v>4</c:v>
                </c:pt>
                <c:pt idx="1">
                  <c:v>8</c:v>
                </c:pt>
                <c:pt idx="2">
                  <c:v>30</c:v>
                </c:pt>
                <c:pt idx="3">
                  <c:v>72</c:v>
                </c:pt>
                <c:pt idx="4">
                  <c:v>84</c:v>
                </c:pt>
                <c:pt idx="5">
                  <c:v>96</c:v>
                </c:pt>
                <c:pt idx="6">
                  <c:v>202</c:v>
                </c:pt>
                <c:pt idx="7">
                  <c:v>257</c:v>
                </c:pt>
              </c:numCache>
            </c:numRef>
          </c:val>
          <c:extLst>
            <c:ext xmlns:c16="http://schemas.microsoft.com/office/drawing/2014/chart" uri="{C3380CC4-5D6E-409C-BE32-E72D297353CC}">
              <c16:uniqueId val="{00000007-5187-4D58-9E46-562D8BBDF948}"/>
            </c:ext>
          </c:extLst>
        </c:ser>
        <c:dLbls>
          <c:showLegendKey val="0"/>
          <c:showVal val="0"/>
          <c:showCatName val="0"/>
          <c:showSerName val="0"/>
          <c:showPercent val="0"/>
          <c:showBubbleSize val="0"/>
        </c:dLbls>
        <c:gapWidth val="150"/>
        <c:shape val="cylinder"/>
        <c:axId val="225067664"/>
        <c:axId val="225068448"/>
        <c:axId val="0"/>
      </c:bar3DChart>
      <c:catAx>
        <c:axId val="225067664"/>
        <c:scaling>
          <c:orientation val="minMax"/>
        </c:scaling>
        <c:delete val="0"/>
        <c:axPos val="l"/>
        <c:numFmt formatCode="General" sourceLinked="1"/>
        <c:majorTickMark val="out"/>
        <c:minorTickMark val="none"/>
        <c:tickLblPos val="nextTo"/>
        <c:txPr>
          <a:bodyPr rot="0" vert="horz"/>
          <a:lstStyle/>
          <a:p>
            <a:pPr>
              <a:defRPr/>
            </a:pPr>
            <a:endParaRPr lang="fr-FR"/>
          </a:p>
        </c:txPr>
        <c:crossAx val="225068448"/>
        <c:crosses val="autoZero"/>
        <c:auto val="1"/>
        <c:lblAlgn val="ctr"/>
        <c:lblOffset val="100"/>
        <c:noMultiLvlLbl val="0"/>
      </c:catAx>
      <c:valAx>
        <c:axId val="225068448"/>
        <c:scaling>
          <c:orientation val="minMax"/>
        </c:scaling>
        <c:delete val="0"/>
        <c:axPos val="b"/>
        <c:majorGridlines/>
        <c:numFmt formatCode="General" sourceLinked="1"/>
        <c:majorTickMark val="out"/>
        <c:minorTickMark val="none"/>
        <c:tickLblPos val="nextTo"/>
        <c:txPr>
          <a:bodyPr rot="0" vert="horz"/>
          <a:lstStyle/>
          <a:p>
            <a:pPr>
              <a:defRPr/>
            </a:pPr>
            <a:endParaRPr lang="fr-FR"/>
          </a:p>
        </c:txPr>
        <c:crossAx val="225067664"/>
        <c:crosses val="autoZero"/>
        <c:crossBetween val="between"/>
      </c:valAx>
      <c:spPr>
        <a:noFill/>
        <a:ln w="25400">
          <a:noFill/>
        </a:ln>
      </c:spPr>
    </c:plotArea>
    <c:plotVisOnly val="1"/>
    <c:dispBlanksAs val="gap"/>
    <c:showDLblsOverMax val="0"/>
  </c:chart>
  <c:spPr>
    <a:effectLst>
      <a:glow rad="177800">
        <a:schemeClr val="accent1">
          <a:satMod val="175000"/>
          <a:alpha val="40000"/>
        </a:schemeClr>
      </a:glow>
    </a:effectLst>
  </c:spPr>
  <c:txPr>
    <a:bodyPr/>
    <a:lstStyle/>
    <a:p>
      <a:pPr>
        <a:defRPr sz="800" b="0" i="0" u="none" strike="noStrike" baseline="0">
          <a:solidFill>
            <a:schemeClr val="bg1">
              <a:lumMod val="50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8B81194-A73A-4E6A-AE20-EFD2C378ED0E}" type="doc">
      <dgm:prSet loTypeId="urn:microsoft.com/office/officeart/2005/8/layout/list1" loCatId="list" qsTypeId="urn:microsoft.com/office/officeart/2005/8/quickstyle/simple1" qsCatId="simple" csTypeId="urn:microsoft.com/office/officeart/2005/8/colors/accent1_2" csCatId="accent1" phldr="1"/>
      <dgm:spPr/>
      <dgm:t>
        <a:bodyPr/>
        <a:lstStyle/>
        <a:p>
          <a:endParaRPr lang="fr-FR"/>
        </a:p>
      </dgm:t>
    </dgm:pt>
    <dgm:pt modelId="{47BF32E5-5E63-474A-A55B-42CBDE2BF24F}">
      <dgm:prSet custT="1"/>
      <dgm:spPr>
        <a:solidFill>
          <a:schemeClr val="accent1">
            <a:lumMod val="40000"/>
            <a:lumOff val="60000"/>
          </a:schemeClr>
        </a:solidFill>
      </dgm:spPr>
      <dgm:t>
        <a:bodyPr/>
        <a:lstStyle/>
        <a:p>
          <a:r>
            <a:rPr lang="fr-FR" sz="1000">
              <a:solidFill>
                <a:schemeClr val="accent1">
                  <a:lumMod val="75000"/>
                </a:schemeClr>
              </a:solidFill>
              <a:latin typeface="Calibri" panose="020F0502020204030204" pitchFamily="34" charset="0"/>
              <a:ea typeface="+mn-ea"/>
              <a:cs typeface="+mn-cs"/>
            </a:rPr>
            <a:t>S’est dotée d’un correspondant handicap, positionné au niveau de la DRH, chargé </a:t>
          </a:r>
          <a:r>
            <a:rPr lang="fr-FR" sz="1050">
              <a:solidFill>
                <a:schemeClr val="accent1">
                  <a:lumMod val="75000"/>
                </a:schemeClr>
              </a:solidFill>
              <a:latin typeface="Calibri" panose="020F0502020204030204" pitchFamily="34" charset="0"/>
              <a:ea typeface="+mn-ea"/>
              <a:cs typeface="+mn-cs"/>
            </a:rPr>
            <a:t>d’informer</a:t>
          </a:r>
          <a:r>
            <a:rPr lang="fr-FR" sz="1000">
              <a:solidFill>
                <a:schemeClr val="accent1">
                  <a:lumMod val="75000"/>
                </a:schemeClr>
              </a:solidFill>
              <a:latin typeface="Calibri" panose="020F0502020204030204" pitchFamily="34" charset="0"/>
              <a:ea typeface="+mn-ea"/>
              <a:cs typeface="+mn-cs"/>
            </a:rPr>
            <a:t> et d’accompagner les personnes handicapées pour faciliter leur insertion professionnelle. Il procède également au recensement des bénéficiaires de l’obligation d’emploi</a:t>
          </a:r>
          <a:endParaRPr lang="fr-FR" sz="1000">
            <a:solidFill>
              <a:schemeClr val="accent1">
                <a:lumMod val="75000"/>
              </a:schemeClr>
            </a:solidFill>
            <a:latin typeface="Calibri" panose="020F0502020204030204" pitchFamily="34" charset="0"/>
          </a:endParaRPr>
        </a:p>
      </dgm:t>
    </dgm:pt>
    <dgm:pt modelId="{EF07A61C-E19B-41D9-BC05-C9AC0FD90208}" type="parTrans" cxnId="{096FACD8-EA1A-4414-B8C5-7CD567068531}">
      <dgm:prSet/>
      <dgm:spPr/>
      <dgm:t>
        <a:bodyPr/>
        <a:lstStyle/>
        <a:p>
          <a:endParaRPr lang="fr-FR" sz="900">
            <a:solidFill>
              <a:schemeClr val="bg1"/>
            </a:solidFill>
            <a:latin typeface="Calibri" panose="020F0502020204030204" pitchFamily="34" charset="0"/>
          </a:endParaRPr>
        </a:p>
      </dgm:t>
    </dgm:pt>
    <dgm:pt modelId="{24D835A5-0EBC-49A8-A357-37434C8F0377}" type="sibTrans" cxnId="{096FACD8-EA1A-4414-B8C5-7CD567068531}">
      <dgm:prSet/>
      <dgm:spPr/>
      <dgm:t>
        <a:bodyPr/>
        <a:lstStyle/>
        <a:p>
          <a:endParaRPr lang="fr-FR" sz="900">
            <a:solidFill>
              <a:schemeClr val="bg1"/>
            </a:solidFill>
            <a:latin typeface="Calibri" panose="020F0502020204030204" pitchFamily="34" charset="0"/>
          </a:endParaRPr>
        </a:p>
      </dgm:t>
    </dgm:pt>
    <dgm:pt modelId="{7B163089-76D1-4CC5-B0E3-CEE10B744C0E}">
      <dgm:prSet phldrT="[Texte]" custT="1"/>
      <dgm:spPr>
        <a:solidFill>
          <a:schemeClr val="accent1">
            <a:lumMod val="40000"/>
            <a:lumOff val="60000"/>
          </a:schemeClr>
        </a:solidFill>
      </dgm:spPr>
      <dgm:t>
        <a:bodyPr/>
        <a:lstStyle/>
        <a:p>
          <a:r>
            <a:rPr lang="fr-FR" sz="1000">
              <a:solidFill>
                <a:schemeClr val="accent1">
                  <a:lumMod val="75000"/>
                </a:schemeClr>
              </a:solidFill>
              <a:effectLst/>
              <a:latin typeface="Calibri" panose="020F0502020204030204" pitchFamily="34" charset="0"/>
              <a:ea typeface="+mn-ea"/>
              <a:cs typeface="+mn-cs"/>
            </a:rPr>
            <a:t>Mène une politique active en faveur du recrutement de travailleurs handicapés en organisant des recrutements réservés chaque année et en diffusant largement  son offre d'emploi y compris auprès d'un public spécifique  (Loi du 11 janvier 1984 et Décret n° 95-979 du 25 août 1995. </a:t>
          </a:r>
          <a:endParaRPr lang="fr-FR" sz="1000">
            <a:solidFill>
              <a:schemeClr val="accent1">
                <a:lumMod val="75000"/>
              </a:schemeClr>
            </a:solidFill>
            <a:latin typeface="Calibri" panose="020F0502020204030204" pitchFamily="34" charset="0"/>
          </a:endParaRPr>
        </a:p>
      </dgm:t>
    </dgm:pt>
    <dgm:pt modelId="{F4FC7902-AEC3-4798-B22B-09365E579E56}" type="parTrans" cxnId="{998C772C-3A8B-4DC2-BC40-253A422F08FA}">
      <dgm:prSet/>
      <dgm:spPr/>
      <dgm:t>
        <a:bodyPr/>
        <a:lstStyle/>
        <a:p>
          <a:endParaRPr lang="fr-FR" sz="900">
            <a:solidFill>
              <a:schemeClr val="bg1"/>
            </a:solidFill>
            <a:latin typeface="Calibri" panose="020F0502020204030204" pitchFamily="34" charset="0"/>
          </a:endParaRPr>
        </a:p>
      </dgm:t>
    </dgm:pt>
    <dgm:pt modelId="{F9FECEFE-088A-4FE2-9AF6-A9E615DD37F7}" type="sibTrans" cxnId="{998C772C-3A8B-4DC2-BC40-253A422F08FA}">
      <dgm:prSet/>
      <dgm:spPr/>
      <dgm:t>
        <a:bodyPr/>
        <a:lstStyle/>
        <a:p>
          <a:endParaRPr lang="fr-FR" sz="900">
            <a:solidFill>
              <a:schemeClr val="bg1"/>
            </a:solidFill>
            <a:latin typeface="Calibri" panose="020F0502020204030204" pitchFamily="34" charset="0"/>
          </a:endParaRPr>
        </a:p>
      </dgm:t>
    </dgm:pt>
    <dgm:pt modelId="{6A3672EF-EC73-40F9-A12A-DB5CDC381FB3}">
      <dgm:prSet phldrT="[Texte]" custT="1"/>
      <dgm:spPr>
        <a:solidFill>
          <a:schemeClr val="accent1">
            <a:lumMod val="40000"/>
            <a:lumOff val="60000"/>
          </a:schemeClr>
        </a:solidFill>
      </dgm:spPr>
      <dgm:t>
        <a:bodyPr/>
        <a:lstStyle/>
        <a:p>
          <a:r>
            <a:rPr lang="fr-FR" sz="1000">
              <a:solidFill>
                <a:schemeClr val="accent1">
                  <a:lumMod val="75000"/>
                </a:schemeClr>
              </a:solidFill>
              <a:latin typeface="Calibri" panose="020F0502020204030204" pitchFamily="34" charset="0"/>
              <a:ea typeface="+mn-ea"/>
              <a:cs typeface="+mn-cs"/>
            </a:rPr>
            <a:t>Présente chaque année au moins un dossier de candidature à un contrat doctoral handicap</a:t>
          </a:r>
          <a:endParaRPr lang="fr-FR" sz="1000">
            <a:solidFill>
              <a:schemeClr val="accent1">
                <a:lumMod val="75000"/>
              </a:schemeClr>
            </a:solidFill>
            <a:latin typeface="Calibri" panose="020F0502020204030204" pitchFamily="34" charset="0"/>
          </a:endParaRPr>
        </a:p>
      </dgm:t>
    </dgm:pt>
    <dgm:pt modelId="{64DED587-63CA-4DE5-8042-1E16470BFD39}" type="sibTrans" cxnId="{CF07AE13-E6A4-4184-BAF8-5CE644E408B9}">
      <dgm:prSet/>
      <dgm:spPr/>
      <dgm:t>
        <a:bodyPr/>
        <a:lstStyle/>
        <a:p>
          <a:endParaRPr lang="fr-FR" sz="900">
            <a:solidFill>
              <a:schemeClr val="bg1"/>
            </a:solidFill>
            <a:latin typeface="Calibri" panose="020F0502020204030204" pitchFamily="34" charset="0"/>
          </a:endParaRPr>
        </a:p>
      </dgm:t>
    </dgm:pt>
    <dgm:pt modelId="{86B2899B-D209-449B-AA68-B583D68E1146}" type="parTrans" cxnId="{CF07AE13-E6A4-4184-BAF8-5CE644E408B9}">
      <dgm:prSet/>
      <dgm:spPr/>
      <dgm:t>
        <a:bodyPr/>
        <a:lstStyle/>
        <a:p>
          <a:endParaRPr lang="fr-FR" sz="900">
            <a:solidFill>
              <a:schemeClr val="bg1"/>
            </a:solidFill>
            <a:latin typeface="Calibri" panose="020F0502020204030204" pitchFamily="34" charset="0"/>
          </a:endParaRPr>
        </a:p>
      </dgm:t>
    </dgm:pt>
    <dgm:pt modelId="{004FF89E-B544-469B-B34E-6B63C153F6A0}" type="pres">
      <dgm:prSet presAssocID="{D8B81194-A73A-4E6A-AE20-EFD2C378ED0E}" presName="linear" presStyleCnt="0">
        <dgm:presLayoutVars>
          <dgm:dir/>
          <dgm:animLvl val="lvl"/>
          <dgm:resizeHandles val="exact"/>
        </dgm:presLayoutVars>
      </dgm:prSet>
      <dgm:spPr/>
    </dgm:pt>
    <dgm:pt modelId="{D91A0286-6AF0-4CC6-960E-5A7F888F4E11}" type="pres">
      <dgm:prSet presAssocID="{6A3672EF-EC73-40F9-A12A-DB5CDC381FB3}" presName="parentLin" presStyleCnt="0"/>
      <dgm:spPr/>
    </dgm:pt>
    <dgm:pt modelId="{D3E3CA13-2289-4E2B-BEC6-209B21EDDB8B}" type="pres">
      <dgm:prSet presAssocID="{6A3672EF-EC73-40F9-A12A-DB5CDC381FB3}" presName="parentLeftMargin" presStyleLbl="node1" presStyleIdx="0" presStyleCnt="3"/>
      <dgm:spPr/>
    </dgm:pt>
    <dgm:pt modelId="{A48DB43F-5B64-4BA9-935E-B947C0A663F4}" type="pres">
      <dgm:prSet presAssocID="{6A3672EF-EC73-40F9-A12A-DB5CDC381FB3}" presName="parentText" presStyleLbl="node1" presStyleIdx="0" presStyleCnt="3" custScaleX="142857" custScaleY="100804" custLinFactNeighborX="4862" custLinFactNeighborY="1434">
        <dgm:presLayoutVars>
          <dgm:chMax val="0"/>
          <dgm:bulletEnabled val="1"/>
        </dgm:presLayoutVars>
      </dgm:prSet>
      <dgm:spPr/>
    </dgm:pt>
    <dgm:pt modelId="{3B3F362E-DD78-4641-8795-AA3964EB95A5}" type="pres">
      <dgm:prSet presAssocID="{6A3672EF-EC73-40F9-A12A-DB5CDC381FB3}" presName="negativeSpace" presStyleCnt="0"/>
      <dgm:spPr/>
    </dgm:pt>
    <dgm:pt modelId="{5201AC40-D19B-4681-875C-8DBE39C38D14}" type="pres">
      <dgm:prSet presAssocID="{6A3672EF-EC73-40F9-A12A-DB5CDC381FB3}" presName="childText" presStyleLbl="conFgAcc1" presStyleIdx="0" presStyleCnt="3" custScaleY="92559">
        <dgm:presLayoutVars>
          <dgm:bulletEnabled val="1"/>
        </dgm:presLayoutVars>
      </dgm:prSet>
      <dgm:spPr/>
    </dgm:pt>
    <dgm:pt modelId="{9E1D01D7-7022-4852-833E-B6C5EFD097CB}" type="pres">
      <dgm:prSet presAssocID="{64DED587-63CA-4DE5-8042-1E16470BFD39}" presName="spaceBetweenRectangles" presStyleCnt="0"/>
      <dgm:spPr/>
    </dgm:pt>
    <dgm:pt modelId="{EBFD4FCE-132A-4C3B-881F-49A2206529FC}" type="pres">
      <dgm:prSet presAssocID="{47BF32E5-5E63-474A-A55B-42CBDE2BF24F}" presName="parentLin" presStyleCnt="0"/>
      <dgm:spPr/>
    </dgm:pt>
    <dgm:pt modelId="{B515B865-6DD9-4A0E-BEE9-209B6EC9B842}" type="pres">
      <dgm:prSet presAssocID="{47BF32E5-5E63-474A-A55B-42CBDE2BF24F}" presName="parentLeftMargin" presStyleLbl="node1" presStyleIdx="0" presStyleCnt="3"/>
      <dgm:spPr/>
    </dgm:pt>
    <dgm:pt modelId="{6AE696EF-342F-4708-853C-E18CB2DD3262}" type="pres">
      <dgm:prSet presAssocID="{47BF32E5-5E63-474A-A55B-42CBDE2BF24F}" presName="parentText" presStyleLbl="node1" presStyleIdx="1" presStyleCnt="3" custScaleX="142857" custScaleY="179297">
        <dgm:presLayoutVars>
          <dgm:chMax val="0"/>
          <dgm:bulletEnabled val="1"/>
        </dgm:presLayoutVars>
      </dgm:prSet>
      <dgm:spPr/>
    </dgm:pt>
    <dgm:pt modelId="{62A7727E-B3F9-437F-BEC2-77D1B5DFB38A}" type="pres">
      <dgm:prSet presAssocID="{47BF32E5-5E63-474A-A55B-42CBDE2BF24F}" presName="negativeSpace" presStyleCnt="0"/>
      <dgm:spPr/>
    </dgm:pt>
    <dgm:pt modelId="{6E6A8684-C20A-4571-B4D4-9CB7A7105A6B}" type="pres">
      <dgm:prSet presAssocID="{47BF32E5-5E63-474A-A55B-42CBDE2BF24F}" presName="childText" presStyleLbl="conFgAcc1" presStyleIdx="1" presStyleCnt="3" custScaleY="111632">
        <dgm:presLayoutVars>
          <dgm:bulletEnabled val="1"/>
        </dgm:presLayoutVars>
      </dgm:prSet>
      <dgm:spPr/>
    </dgm:pt>
    <dgm:pt modelId="{695B1931-1076-42DD-ADBD-0D3E7CEC0AD7}" type="pres">
      <dgm:prSet presAssocID="{24D835A5-0EBC-49A8-A357-37434C8F0377}" presName="spaceBetweenRectangles" presStyleCnt="0"/>
      <dgm:spPr/>
    </dgm:pt>
    <dgm:pt modelId="{D6961692-F040-4795-B77B-B290ECC08AA1}" type="pres">
      <dgm:prSet presAssocID="{7B163089-76D1-4CC5-B0E3-CEE10B744C0E}" presName="parentLin" presStyleCnt="0"/>
      <dgm:spPr/>
    </dgm:pt>
    <dgm:pt modelId="{F1400851-576F-45FA-B9D6-AFA431BA7FB5}" type="pres">
      <dgm:prSet presAssocID="{7B163089-76D1-4CC5-B0E3-CEE10B744C0E}" presName="parentLeftMargin" presStyleLbl="node1" presStyleIdx="1" presStyleCnt="3"/>
      <dgm:spPr/>
    </dgm:pt>
    <dgm:pt modelId="{BA274920-F955-4620-A23C-35152B96043E}" type="pres">
      <dgm:prSet presAssocID="{7B163089-76D1-4CC5-B0E3-CEE10B744C0E}" presName="parentText" presStyleLbl="node1" presStyleIdx="2" presStyleCnt="3" custScaleX="142857" custScaleY="173434">
        <dgm:presLayoutVars>
          <dgm:chMax val="0"/>
          <dgm:bulletEnabled val="1"/>
        </dgm:presLayoutVars>
      </dgm:prSet>
      <dgm:spPr/>
    </dgm:pt>
    <dgm:pt modelId="{C9605B05-F84A-469E-ADB5-D1D67BA82B03}" type="pres">
      <dgm:prSet presAssocID="{7B163089-76D1-4CC5-B0E3-CEE10B744C0E}" presName="negativeSpace" presStyleCnt="0"/>
      <dgm:spPr/>
    </dgm:pt>
    <dgm:pt modelId="{00CB85AB-CB67-420B-832E-6C6602E77ABC}" type="pres">
      <dgm:prSet presAssocID="{7B163089-76D1-4CC5-B0E3-CEE10B744C0E}" presName="childText" presStyleLbl="conFgAcc1" presStyleIdx="2" presStyleCnt="3" custLinFactNeighborX="-926" custLinFactNeighborY="3259">
        <dgm:presLayoutVars>
          <dgm:bulletEnabled val="1"/>
        </dgm:presLayoutVars>
      </dgm:prSet>
      <dgm:spPr/>
    </dgm:pt>
  </dgm:ptLst>
  <dgm:cxnLst>
    <dgm:cxn modelId="{CF07AE13-E6A4-4184-BAF8-5CE644E408B9}" srcId="{D8B81194-A73A-4E6A-AE20-EFD2C378ED0E}" destId="{6A3672EF-EC73-40F9-A12A-DB5CDC381FB3}" srcOrd="0" destOrd="0" parTransId="{86B2899B-D209-449B-AA68-B583D68E1146}" sibTransId="{64DED587-63CA-4DE5-8042-1E16470BFD39}"/>
    <dgm:cxn modelId="{48F37221-861A-4163-839C-9C7702C6A3EB}" type="presOf" srcId="{47BF32E5-5E63-474A-A55B-42CBDE2BF24F}" destId="{6AE696EF-342F-4708-853C-E18CB2DD3262}" srcOrd="1" destOrd="0" presId="urn:microsoft.com/office/officeart/2005/8/layout/list1"/>
    <dgm:cxn modelId="{998C772C-3A8B-4DC2-BC40-253A422F08FA}" srcId="{D8B81194-A73A-4E6A-AE20-EFD2C378ED0E}" destId="{7B163089-76D1-4CC5-B0E3-CEE10B744C0E}" srcOrd="2" destOrd="0" parTransId="{F4FC7902-AEC3-4798-B22B-09365E579E56}" sibTransId="{F9FECEFE-088A-4FE2-9AF6-A9E615DD37F7}"/>
    <dgm:cxn modelId="{A5F8083E-884E-4184-AA64-D803377CDD58}" type="presOf" srcId="{47BF32E5-5E63-474A-A55B-42CBDE2BF24F}" destId="{B515B865-6DD9-4A0E-BEE9-209B6EC9B842}" srcOrd="0" destOrd="0" presId="urn:microsoft.com/office/officeart/2005/8/layout/list1"/>
    <dgm:cxn modelId="{15E00E5B-4AF1-49E0-9496-47DDC861C3F9}" type="presOf" srcId="{6A3672EF-EC73-40F9-A12A-DB5CDC381FB3}" destId="{D3E3CA13-2289-4E2B-BEC6-209B21EDDB8B}" srcOrd="0" destOrd="0" presId="urn:microsoft.com/office/officeart/2005/8/layout/list1"/>
    <dgm:cxn modelId="{5BEEDB47-8B5F-44FB-99D0-7EC88DCB685B}" type="presOf" srcId="{6A3672EF-EC73-40F9-A12A-DB5CDC381FB3}" destId="{A48DB43F-5B64-4BA9-935E-B947C0A663F4}" srcOrd="1" destOrd="0" presId="urn:microsoft.com/office/officeart/2005/8/layout/list1"/>
    <dgm:cxn modelId="{2D18BD5A-A2F5-4914-AA34-A9603EE4F6A4}" type="presOf" srcId="{7B163089-76D1-4CC5-B0E3-CEE10B744C0E}" destId="{F1400851-576F-45FA-B9D6-AFA431BA7FB5}" srcOrd="0" destOrd="0" presId="urn:microsoft.com/office/officeart/2005/8/layout/list1"/>
    <dgm:cxn modelId="{C75CCBD3-9594-443C-87B6-B197766EDC62}" type="presOf" srcId="{D8B81194-A73A-4E6A-AE20-EFD2C378ED0E}" destId="{004FF89E-B544-469B-B34E-6B63C153F6A0}" srcOrd="0" destOrd="0" presId="urn:microsoft.com/office/officeart/2005/8/layout/list1"/>
    <dgm:cxn modelId="{096FACD8-EA1A-4414-B8C5-7CD567068531}" srcId="{D8B81194-A73A-4E6A-AE20-EFD2C378ED0E}" destId="{47BF32E5-5E63-474A-A55B-42CBDE2BF24F}" srcOrd="1" destOrd="0" parTransId="{EF07A61C-E19B-41D9-BC05-C9AC0FD90208}" sibTransId="{24D835A5-0EBC-49A8-A357-37434C8F0377}"/>
    <dgm:cxn modelId="{AD1D72F0-2F0D-4929-9446-0B7E704E4ADE}" type="presOf" srcId="{7B163089-76D1-4CC5-B0E3-CEE10B744C0E}" destId="{BA274920-F955-4620-A23C-35152B96043E}" srcOrd="1" destOrd="0" presId="urn:microsoft.com/office/officeart/2005/8/layout/list1"/>
    <dgm:cxn modelId="{ECFCFAFA-300E-4D1A-9C2A-C78A5D2F9D3C}" type="presParOf" srcId="{004FF89E-B544-469B-B34E-6B63C153F6A0}" destId="{D91A0286-6AF0-4CC6-960E-5A7F888F4E11}" srcOrd="0" destOrd="0" presId="urn:microsoft.com/office/officeart/2005/8/layout/list1"/>
    <dgm:cxn modelId="{E227C956-012E-4692-9C35-DD3E24CE05CC}" type="presParOf" srcId="{D91A0286-6AF0-4CC6-960E-5A7F888F4E11}" destId="{D3E3CA13-2289-4E2B-BEC6-209B21EDDB8B}" srcOrd="0" destOrd="0" presId="urn:microsoft.com/office/officeart/2005/8/layout/list1"/>
    <dgm:cxn modelId="{E2A6D188-FB5E-4544-A5F3-0D4E60BF576F}" type="presParOf" srcId="{D91A0286-6AF0-4CC6-960E-5A7F888F4E11}" destId="{A48DB43F-5B64-4BA9-935E-B947C0A663F4}" srcOrd="1" destOrd="0" presId="urn:microsoft.com/office/officeart/2005/8/layout/list1"/>
    <dgm:cxn modelId="{CAC87041-6059-45EE-98F1-8AC177997232}" type="presParOf" srcId="{004FF89E-B544-469B-B34E-6B63C153F6A0}" destId="{3B3F362E-DD78-4641-8795-AA3964EB95A5}" srcOrd="1" destOrd="0" presId="urn:microsoft.com/office/officeart/2005/8/layout/list1"/>
    <dgm:cxn modelId="{E6D00B00-AEA3-4073-9D82-E528E7F4E5F1}" type="presParOf" srcId="{004FF89E-B544-469B-B34E-6B63C153F6A0}" destId="{5201AC40-D19B-4681-875C-8DBE39C38D14}" srcOrd="2" destOrd="0" presId="urn:microsoft.com/office/officeart/2005/8/layout/list1"/>
    <dgm:cxn modelId="{BB220454-89D3-471E-89CD-C3CF7F482CC9}" type="presParOf" srcId="{004FF89E-B544-469B-B34E-6B63C153F6A0}" destId="{9E1D01D7-7022-4852-833E-B6C5EFD097CB}" srcOrd="3" destOrd="0" presId="urn:microsoft.com/office/officeart/2005/8/layout/list1"/>
    <dgm:cxn modelId="{801E60A6-6349-4AE0-A933-DF82BC7C2166}" type="presParOf" srcId="{004FF89E-B544-469B-B34E-6B63C153F6A0}" destId="{EBFD4FCE-132A-4C3B-881F-49A2206529FC}" srcOrd="4" destOrd="0" presId="urn:microsoft.com/office/officeart/2005/8/layout/list1"/>
    <dgm:cxn modelId="{03DBD625-EB02-47D1-A238-B8EE52B95CFF}" type="presParOf" srcId="{EBFD4FCE-132A-4C3B-881F-49A2206529FC}" destId="{B515B865-6DD9-4A0E-BEE9-209B6EC9B842}" srcOrd="0" destOrd="0" presId="urn:microsoft.com/office/officeart/2005/8/layout/list1"/>
    <dgm:cxn modelId="{6BC390E3-D054-48D5-9666-F53909D5C13F}" type="presParOf" srcId="{EBFD4FCE-132A-4C3B-881F-49A2206529FC}" destId="{6AE696EF-342F-4708-853C-E18CB2DD3262}" srcOrd="1" destOrd="0" presId="urn:microsoft.com/office/officeart/2005/8/layout/list1"/>
    <dgm:cxn modelId="{E05FA0DE-E0E2-444E-BE32-E399B75F5B65}" type="presParOf" srcId="{004FF89E-B544-469B-B34E-6B63C153F6A0}" destId="{62A7727E-B3F9-437F-BEC2-77D1B5DFB38A}" srcOrd="5" destOrd="0" presId="urn:microsoft.com/office/officeart/2005/8/layout/list1"/>
    <dgm:cxn modelId="{F00141A4-617D-46C3-99E8-77DD992F0A64}" type="presParOf" srcId="{004FF89E-B544-469B-B34E-6B63C153F6A0}" destId="{6E6A8684-C20A-4571-B4D4-9CB7A7105A6B}" srcOrd="6" destOrd="0" presId="urn:microsoft.com/office/officeart/2005/8/layout/list1"/>
    <dgm:cxn modelId="{CDB57F0D-28C2-4C1E-B9A7-5F69FAB18291}" type="presParOf" srcId="{004FF89E-B544-469B-B34E-6B63C153F6A0}" destId="{695B1931-1076-42DD-ADBD-0D3E7CEC0AD7}" srcOrd="7" destOrd="0" presId="urn:microsoft.com/office/officeart/2005/8/layout/list1"/>
    <dgm:cxn modelId="{AF3D926F-BD0B-4FB3-983C-A7C3AE913A7F}" type="presParOf" srcId="{004FF89E-B544-469B-B34E-6B63C153F6A0}" destId="{D6961692-F040-4795-B77B-B290ECC08AA1}" srcOrd="8" destOrd="0" presId="urn:microsoft.com/office/officeart/2005/8/layout/list1"/>
    <dgm:cxn modelId="{CE553BC4-813D-461C-AA69-5873042769B3}" type="presParOf" srcId="{D6961692-F040-4795-B77B-B290ECC08AA1}" destId="{F1400851-576F-45FA-B9D6-AFA431BA7FB5}" srcOrd="0" destOrd="0" presId="urn:microsoft.com/office/officeart/2005/8/layout/list1"/>
    <dgm:cxn modelId="{BBC45FCB-BAA6-439A-936F-7CEF677BAD0D}" type="presParOf" srcId="{D6961692-F040-4795-B77B-B290ECC08AA1}" destId="{BA274920-F955-4620-A23C-35152B96043E}" srcOrd="1" destOrd="0" presId="urn:microsoft.com/office/officeart/2005/8/layout/list1"/>
    <dgm:cxn modelId="{3C11FF45-64A2-4810-8AB2-A98580C83B33}" type="presParOf" srcId="{004FF89E-B544-469B-B34E-6B63C153F6A0}" destId="{C9605B05-F84A-469E-ADB5-D1D67BA82B03}" srcOrd="9" destOrd="0" presId="urn:microsoft.com/office/officeart/2005/8/layout/list1"/>
    <dgm:cxn modelId="{77EB0DD2-6FA3-4512-A8E8-B6240EA47AD2}" type="presParOf" srcId="{004FF89E-B544-469B-B34E-6B63C153F6A0}" destId="{00CB85AB-CB67-420B-832E-6C6602E77ABC}" srcOrd="10" destOrd="0" presId="urn:microsoft.com/office/officeart/2005/8/layout/lis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201AC40-D19B-4681-875C-8DBE39C38D14}">
      <dsp:nvSpPr>
        <dsp:cNvPr id="0" name=""/>
        <dsp:cNvSpPr/>
      </dsp:nvSpPr>
      <dsp:spPr>
        <a:xfrm>
          <a:off x="0" y="207715"/>
          <a:ext cx="4556125" cy="303223"/>
        </a:xfrm>
        <a:prstGeom prst="rect">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A48DB43F-5B64-4BA9-935E-B947C0A663F4}">
      <dsp:nvSpPr>
        <dsp:cNvPr id="0" name=""/>
        <dsp:cNvSpPr/>
      </dsp:nvSpPr>
      <dsp:spPr>
        <a:xfrm>
          <a:off x="218022" y="18252"/>
          <a:ext cx="4338102" cy="386845"/>
        </a:xfrm>
        <a:prstGeom prst="roundRect">
          <a:avLst/>
        </a:prstGeom>
        <a:solidFill>
          <a:schemeClr val="accent1">
            <a:lumMod val="40000"/>
            <a:lumOff val="6000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0547" tIns="0" rIns="120547" bIns="0" numCol="1" spcCol="1270" anchor="ctr" anchorCtr="0">
          <a:noAutofit/>
        </a:bodyPr>
        <a:lstStyle/>
        <a:p>
          <a:pPr marL="0" lvl="0" indent="0" algn="l" defTabSz="444500">
            <a:lnSpc>
              <a:spcPct val="90000"/>
            </a:lnSpc>
            <a:spcBef>
              <a:spcPct val="0"/>
            </a:spcBef>
            <a:spcAft>
              <a:spcPct val="35000"/>
            </a:spcAft>
            <a:buNone/>
          </a:pPr>
          <a:r>
            <a:rPr lang="fr-FR" sz="1000" kern="1200">
              <a:solidFill>
                <a:schemeClr val="accent1">
                  <a:lumMod val="75000"/>
                </a:schemeClr>
              </a:solidFill>
              <a:latin typeface="Calibri" panose="020F0502020204030204" pitchFamily="34" charset="0"/>
              <a:ea typeface="+mn-ea"/>
              <a:cs typeface="+mn-cs"/>
            </a:rPr>
            <a:t>Présente chaque année au moins un dossier de candidature à un contrat doctoral handicap</a:t>
          </a:r>
          <a:endParaRPr lang="fr-FR" sz="1000" kern="1200">
            <a:solidFill>
              <a:schemeClr val="accent1">
                <a:lumMod val="75000"/>
              </a:schemeClr>
            </a:solidFill>
            <a:latin typeface="Calibri" panose="020F0502020204030204" pitchFamily="34" charset="0"/>
          </a:endParaRPr>
        </a:p>
      </dsp:txBody>
      <dsp:txXfrm>
        <a:off x="236906" y="37136"/>
        <a:ext cx="4300334" cy="349077"/>
      </dsp:txXfrm>
    </dsp:sp>
    <dsp:sp modelId="{6E6A8684-C20A-4571-B4D4-9CB7A7105A6B}">
      <dsp:nvSpPr>
        <dsp:cNvPr id="0" name=""/>
        <dsp:cNvSpPr/>
      </dsp:nvSpPr>
      <dsp:spPr>
        <a:xfrm>
          <a:off x="0" y="1077328"/>
          <a:ext cx="4556125" cy="365706"/>
        </a:xfrm>
        <a:prstGeom prst="rect">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AE696EF-342F-4708-853C-E18CB2DD3262}">
      <dsp:nvSpPr>
        <dsp:cNvPr id="0" name=""/>
        <dsp:cNvSpPr/>
      </dsp:nvSpPr>
      <dsp:spPr>
        <a:xfrm>
          <a:off x="216905" y="581138"/>
          <a:ext cx="4338102" cy="688070"/>
        </a:xfrm>
        <a:prstGeom prst="roundRect">
          <a:avLst/>
        </a:prstGeom>
        <a:solidFill>
          <a:schemeClr val="accent1">
            <a:lumMod val="40000"/>
            <a:lumOff val="6000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0547" tIns="0" rIns="120547" bIns="0" numCol="1" spcCol="1270" anchor="ctr" anchorCtr="0">
          <a:noAutofit/>
        </a:bodyPr>
        <a:lstStyle/>
        <a:p>
          <a:pPr marL="0" lvl="0" indent="0" algn="l" defTabSz="444500">
            <a:lnSpc>
              <a:spcPct val="90000"/>
            </a:lnSpc>
            <a:spcBef>
              <a:spcPct val="0"/>
            </a:spcBef>
            <a:spcAft>
              <a:spcPct val="35000"/>
            </a:spcAft>
            <a:buNone/>
          </a:pPr>
          <a:r>
            <a:rPr lang="fr-FR" sz="1000" kern="1200">
              <a:solidFill>
                <a:schemeClr val="accent1">
                  <a:lumMod val="75000"/>
                </a:schemeClr>
              </a:solidFill>
              <a:latin typeface="Calibri" panose="020F0502020204030204" pitchFamily="34" charset="0"/>
              <a:ea typeface="+mn-ea"/>
              <a:cs typeface="+mn-cs"/>
            </a:rPr>
            <a:t>S’est dotée d’un correspondant handicap, positionné au niveau de la DRH, chargé </a:t>
          </a:r>
          <a:r>
            <a:rPr lang="fr-FR" sz="1050" kern="1200">
              <a:solidFill>
                <a:schemeClr val="accent1">
                  <a:lumMod val="75000"/>
                </a:schemeClr>
              </a:solidFill>
              <a:latin typeface="Calibri" panose="020F0502020204030204" pitchFamily="34" charset="0"/>
              <a:ea typeface="+mn-ea"/>
              <a:cs typeface="+mn-cs"/>
            </a:rPr>
            <a:t>d’informer</a:t>
          </a:r>
          <a:r>
            <a:rPr lang="fr-FR" sz="1000" kern="1200">
              <a:solidFill>
                <a:schemeClr val="accent1">
                  <a:lumMod val="75000"/>
                </a:schemeClr>
              </a:solidFill>
              <a:latin typeface="Calibri" panose="020F0502020204030204" pitchFamily="34" charset="0"/>
              <a:ea typeface="+mn-ea"/>
              <a:cs typeface="+mn-cs"/>
            </a:rPr>
            <a:t> et d’accompagner les personnes handicapées pour faciliter leur insertion professionnelle. Il procède également au recensement des bénéficiaires de l’obligation d’emploi</a:t>
          </a:r>
          <a:endParaRPr lang="fr-FR" sz="1000" kern="1200">
            <a:solidFill>
              <a:schemeClr val="accent1">
                <a:lumMod val="75000"/>
              </a:schemeClr>
            </a:solidFill>
            <a:latin typeface="Calibri" panose="020F0502020204030204" pitchFamily="34" charset="0"/>
          </a:endParaRPr>
        </a:p>
      </dsp:txBody>
      <dsp:txXfrm>
        <a:off x="250494" y="614727"/>
        <a:ext cx="4270924" cy="620892"/>
      </dsp:txXfrm>
    </dsp:sp>
    <dsp:sp modelId="{00CB85AB-CB67-420B-832E-6C6602E77ABC}">
      <dsp:nvSpPr>
        <dsp:cNvPr id="0" name=""/>
        <dsp:cNvSpPr/>
      </dsp:nvSpPr>
      <dsp:spPr>
        <a:xfrm>
          <a:off x="0" y="1993178"/>
          <a:ext cx="4556125" cy="327600"/>
        </a:xfrm>
        <a:prstGeom prst="rect">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A274920-F955-4620-A23C-35152B96043E}">
      <dsp:nvSpPr>
        <dsp:cNvPr id="0" name=""/>
        <dsp:cNvSpPr/>
      </dsp:nvSpPr>
      <dsp:spPr>
        <a:xfrm>
          <a:off x="216905" y="1513234"/>
          <a:ext cx="4338102" cy="665570"/>
        </a:xfrm>
        <a:prstGeom prst="roundRect">
          <a:avLst/>
        </a:prstGeom>
        <a:solidFill>
          <a:schemeClr val="accent1">
            <a:lumMod val="40000"/>
            <a:lumOff val="6000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0547" tIns="0" rIns="120547" bIns="0" numCol="1" spcCol="1270" anchor="ctr" anchorCtr="0">
          <a:noAutofit/>
        </a:bodyPr>
        <a:lstStyle/>
        <a:p>
          <a:pPr marL="0" lvl="0" indent="0" algn="l" defTabSz="444500">
            <a:lnSpc>
              <a:spcPct val="90000"/>
            </a:lnSpc>
            <a:spcBef>
              <a:spcPct val="0"/>
            </a:spcBef>
            <a:spcAft>
              <a:spcPct val="35000"/>
            </a:spcAft>
            <a:buNone/>
          </a:pPr>
          <a:r>
            <a:rPr lang="fr-FR" sz="1000" kern="1200">
              <a:solidFill>
                <a:schemeClr val="accent1">
                  <a:lumMod val="75000"/>
                </a:schemeClr>
              </a:solidFill>
              <a:effectLst/>
              <a:latin typeface="Calibri" panose="020F0502020204030204" pitchFamily="34" charset="0"/>
              <a:ea typeface="+mn-ea"/>
              <a:cs typeface="+mn-cs"/>
            </a:rPr>
            <a:t>Mène une politique active en faveur du recrutement de travailleurs handicapés en organisant des recrutements réservés chaque année et en diffusant largement  son offre d'emploi y compris auprès d'un public spécifique  (Loi du 11 janvier 1984 et Décret n° 95-979 du 25 août 1995. </a:t>
          </a:r>
          <a:endParaRPr lang="fr-FR" sz="1000" kern="1200">
            <a:solidFill>
              <a:schemeClr val="accent1">
                <a:lumMod val="75000"/>
              </a:schemeClr>
            </a:solidFill>
            <a:latin typeface="Calibri" panose="020F0502020204030204" pitchFamily="34" charset="0"/>
          </a:endParaRPr>
        </a:p>
      </dsp:txBody>
      <dsp:txXfrm>
        <a:off x="249395" y="1545724"/>
        <a:ext cx="4273122" cy="600590"/>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4"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0.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chart" Target="../charts/chart28.xml"/><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1.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 Id="rId5" Type="http://schemas.openxmlformats.org/officeDocument/2006/relationships/image" Target="../media/image15.png"/><Relationship Id="rId4" Type="http://schemas.openxmlformats.org/officeDocument/2006/relationships/image" Target="../media/image14.png"/></Relationships>
</file>

<file path=xl/drawings/_rels/drawing22.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7.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chart" Target="../charts/chart40.xml"/><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649183</xdr:colOff>
      <xdr:row>8</xdr:row>
      <xdr:rowOff>185630</xdr:rowOff>
    </xdr:from>
    <xdr:to>
      <xdr:col>7</xdr:col>
      <xdr:colOff>266700</xdr:colOff>
      <xdr:row>39</xdr:row>
      <xdr:rowOff>190499</xdr:rowOff>
    </xdr:to>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1347683" y="1709630"/>
          <a:ext cx="3808517" cy="5910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2100"/>
            </a:lnSpc>
            <a:spcBef>
              <a:spcPts val="0"/>
            </a:spcBef>
            <a:spcAft>
              <a:spcPts val="0"/>
            </a:spcAft>
            <a:buClrTx/>
            <a:buSzTx/>
            <a:buFontTx/>
            <a:buNone/>
            <a:tabLst/>
            <a:defRPr/>
          </a:pPr>
          <a:r>
            <a:rPr lang="fr-FR" sz="1400">
              <a:solidFill>
                <a:schemeClr val="bg1">
                  <a:lumMod val="50000"/>
                </a:schemeClr>
              </a:solidFill>
              <a:latin typeface="Calibri" pitchFamily="34" charset="0"/>
              <a:cs typeface="Calibri" pitchFamily="34" charset="0"/>
            </a:rPr>
            <a:t>L’or</a:t>
          </a:r>
          <a:r>
            <a:rPr lang="fr-FR" sz="1400">
              <a:solidFill>
                <a:schemeClr val="bg1">
                  <a:lumMod val="50000"/>
                </a:schemeClr>
              </a:solidFill>
              <a:effectLst/>
              <a:latin typeface="Calibri" pitchFamily="34" charset="0"/>
              <a:ea typeface="+mn-ea"/>
              <a:cs typeface="Calibri" pitchFamily="34" charset="0"/>
            </a:rPr>
            <a:t>ganisation</a:t>
          </a:r>
          <a:endParaRPr lang="fr-FR" sz="1400">
            <a:solidFill>
              <a:schemeClr val="bg1">
                <a:lumMod val="50000"/>
              </a:schemeClr>
            </a:solidFill>
            <a:effectLst/>
            <a:latin typeface="Calibri" pitchFamily="34" charset="0"/>
            <a:cs typeface="Calibri" pitchFamily="34" charset="0"/>
          </a:endParaRPr>
        </a:p>
        <a:p>
          <a:pPr>
            <a:lnSpc>
              <a:spcPts val="2100"/>
            </a:lnSpc>
          </a:pPr>
          <a:r>
            <a:rPr lang="fr-FR" sz="1400">
              <a:solidFill>
                <a:schemeClr val="bg1">
                  <a:lumMod val="50000"/>
                </a:schemeClr>
              </a:solidFill>
              <a:latin typeface="Calibri" pitchFamily="34" charset="0"/>
              <a:ea typeface="+mn-ea"/>
              <a:cs typeface="Calibri" pitchFamily="34" charset="0"/>
            </a:rPr>
            <a:t>5</a:t>
          </a:r>
          <a:r>
            <a:rPr lang="fr-FR" sz="1800">
              <a:solidFill>
                <a:schemeClr val="bg1">
                  <a:lumMod val="50000"/>
                </a:schemeClr>
              </a:solidFill>
              <a:latin typeface="Calibri" pitchFamily="34" charset="0"/>
              <a:ea typeface="+mn-ea"/>
              <a:cs typeface="Calibri" pitchFamily="34" charset="0"/>
            </a:rPr>
            <a:t> </a:t>
          </a:r>
          <a:r>
            <a:rPr lang="fr-FR" sz="800">
              <a:solidFill>
                <a:schemeClr val="bg1">
                  <a:lumMod val="50000"/>
                </a:schemeClr>
              </a:solidFill>
              <a:latin typeface="Calibri" pitchFamily="34" charset="0"/>
              <a:ea typeface="+mn-ea"/>
              <a:cs typeface="Calibri" pitchFamily="34" charset="0"/>
            </a:rPr>
            <a:t>Unités de Formation et de Recherche (UFR) : </a:t>
          </a:r>
        </a:p>
        <a:p>
          <a:r>
            <a:rPr lang="fr-FR" sz="800">
              <a:solidFill>
                <a:schemeClr val="bg1">
                  <a:lumMod val="50000"/>
                </a:schemeClr>
              </a:solidFill>
              <a:latin typeface="Calibri" pitchFamily="34" charset="0"/>
              <a:cs typeface="Calibri" pitchFamily="34" charset="0"/>
            </a:rPr>
            <a:t>UFR d'Arts, Lettres, Langues (ALL)</a:t>
          </a:r>
        </a:p>
        <a:p>
          <a:r>
            <a:rPr lang="fr-FR" sz="800" b="0" i="0" u="none" strike="noStrike">
              <a:solidFill>
                <a:schemeClr val="bg1">
                  <a:lumMod val="50000"/>
                </a:schemeClr>
              </a:solidFill>
              <a:effectLst/>
              <a:latin typeface="Calibri" pitchFamily="34" charset="0"/>
              <a:ea typeface="+mn-ea"/>
              <a:cs typeface="Calibri" pitchFamily="34" charset="0"/>
            </a:rPr>
            <a:t>UFR des Sciences Humaines et Sociales (SHS)</a:t>
          </a:r>
          <a:r>
            <a:rPr lang="fr-FR" sz="800">
              <a:solidFill>
                <a:schemeClr val="bg1">
                  <a:lumMod val="50000"/>
                </a:schemeClr>
              </a:solidFill>
              <a:latin typeface="Calibri" pitchFamily="34" charset="0"/>
              <a:cs typeface="Calibri" pitchFamily="34" charset="0"/>
            </a:rPr>
            <a:t> </a:t>
          </a:r>
        </a:p>
        <a:p>
          <a:r>
            <a:rPr lang="fr-FR" sz="800" b="0" i="0">
              <a:solidFill>
                <a:schemeClr val="bg1">
                  <a:lumMod val="50000"/>
                </a:schemeClr>
              </a:solidFill>
              <a:effectLst/>
              <a:latin typeface="Calibri" pitchFamily="34" charset="0"/>
              <a:ea typeface="+mn-ea"/>
              <a:cs typeface="Calibri" pitchFamily="34" charset="0"/>
            </a:rPr>
            <a:t>UFR de Droit</a:t>
          </a:r>
        </a:p>
        <a:p>
          <a:r>
            <a:rPr lang="fr-FR" sz="800" b="0" i="0" u="none" strike="noStrike">
              <a:solidFill>
                <a:schemeClr val="bg1">
                  <a:lumMod val="50000"/>
                </a:schemeClr>
              </a:solidFill>
              <a:effectLst/>
              <a:latin typeface="Calibri" pitchFamily="34" charset="0"/>
              <a:ea typeface="+mn-ea"/>
              <a:cs typeface="Calibri" pitchFamily="34" charset="0"/>
            </a:rPr>
            <a:t>UFR de Médecine </a:t>
          </a:r>
        </a:p>
        <a:p>
          <a:r>
            <a:rPr lang="fr-FR" sz="800">
              <a:solidFill>
                <a:schemeClr val="bg1">
                  <a:lumMod val="50000"/>
                </a:schemeClr>
              </a:solidFill>
              <a:latin typeface="Calibri" pitchFamily="34" charset="0"/>
              <a:cs typeface="Calibri" pitchFamily="34" charset="0"/>
            </a:rPr>
            <a:t>UFR des Sciences et Techniques</a:t>
          </a:r>
        </a:p>
        <a:p>
          <a:pPr marL="0" indent="0">
            <a:lnSpc>
              <a:spcPts val="2100"/>
            </a:lnSpc>
          </a:pPr>
          <a:r>
            <a:rPr lang="fr-FR" sz="1400">
              <a:solidFill>
                <a:schemeClr val="bg1">
                  <a:lumMod val="50000"/>
                </a:schemeClr>
              </a:solidFill>
              <a:latin typeface="Calibri" pitchFamily="34" charset="0"/>
              <a:ea typeface="+mn-ea"/>
              <a:cs typeface="Calibri" pitchFamily="34" charset="0"/>
            </a:rPr>
            <a:t>5</a:t>
          </a:r>
          <a:r>
            <a:rPr lang="fr-FR" sz="90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Instituts</a:t>
          </a:r>
        </a:p>
        <a:p>
          <a:r>
            <a:rPr lang="fr-FR" sz="800" i="0">
              <a:solidFill>
                <a:schemeClr val="bg1">
                  <a:lumMod val="50000"/>
                </a:schemeClr>
              </a:solidFill>
              <a:latin typeface="Calibri" pitchFamily="34" charset="0"/>
              <a:cs typeface="Calibri" pitchFamily="34" charset="0"/>
            </a:rPr>
            <a:t>Institut d’Administration des Entreprises (IAE)</a:t>
          </a:r>
        </a:p>
        <a:p>
          <a:r>
            <a:rPr lang="fr-FR" sz="800" i="0">
              <a:solidFill>
                <a:schemeClr val="bg1">
                  <a:lumMod val="50000"/>
                </a:schemeClr>
              </a:solidFill>
              <a:latin typeface="Calibri" pitchFamily="34" charset="0"/>
              <a:cs typeface="Calibri" pitchFamily="34" charset="0"/>
            </a:rPr>
            <a:t>TELECOM Saint-Etienne</a:t>
          </a:r>
        </a:p>
        <a:p>
          <a:r>
            <a:rPr lang="fr-FR" sz="800" i="0">
              <a:solidFill>
                <a:schemeClr val="bg1">
                  <a:lumMod val="50000"/>
                </a:schemeClr>
              </a:solidFill>
              <a:latin typeface="Calibri" pitchFamily="34" charset="0"/>
              <a:cs typeface="Calibri" pitchFamily="34" charset="0"/>
            </a:rPr>
            <a:t>2 IUT (Saint-Etienne et Roanne)</a:t>
          </a:r>
        </a:p>
        <a:p>
          <a:r>
            <a:rPr lang="fr-FR" sz="800" i="0">
              <a:solidFill>
                <a:schemeClr val="bg1">
                  <a:lumMod val="50000"/>
                </a:schemeClr>
              </a:solidFill>
              <a:latin typeface="Calibri" pitchFamily="34" charset="0"/>
              <a:cs typeface="Calibri" pitchFamily="34" charset="0"/>
            </a:rPr>
            <a:t>Institut du travail</a:t>
          </a:r>
        </a:p>
        <a:p>
          <a:pPr marL="0" marR="0" indent="0" defTabSz="914400" eaLnBrk="1" fontAlgn="auto" latinLnBrk="0" hangingPunct="1">
            <a:lnSpc>
              <a:spcPct val="100000"/>
            </a:lnSpc>
            <a:spcBef>
              <a:spcPts val="0"/>
            </a:spcBef>
            <a:spcAft>
              <a:spcPts val="0"/>
            </a:spcAft>
            <a:buClrTx/>
            <a:buSzTx/>
            <a:buFontTx/>
            <a:buNone/>
            <a:tabLst/>
            <a:defRPr/>
          </a:pPr>
          <a:r>
            <a:rPr lang="fr-FR" sz="1400">
              <a:solidFill>
                <a:schemeClr val="bg1">
                  <a:lumMod val="50000"/>
                </a:schemeClr>
              </a:solidFill>
              <a:latin typeface="Calibri" pitchFamily="34" charset="0"/>
              <a:ea typeface="+mn-ea"/>
              <a:cs typeface="Calibri" pitchFamily="34" charset="0"/>
            </a:rPr>
            <a:t>1</a:t>
          </a:r>
          <a:r>
            <a:rPr lang="fr-FR" sz="1800">
              <a:solidFill>
                <a:schemeClr val="bg1">
                  <a:lumMod val="50000"/>
                </a:schemeClr>
              </a:solidFill>
              <a:latin typeface="Calibri" pitchFamily="34" charset="0"/>
              <a:ea typeface="+mn-ea"/>
              <a:cs typeface="Calibri" pitchFamily="34" charset="0"/>
            </a:rPr>
            <a:t> </a:t>
          </a:r>
          <a:r>
            <a:rPr lang="fr-FR" sz="800">
              <a:solidFill>
                <a:schemeClr val="bg1">
                  <a:lumMod val="50000"/>
                </a:schemeClr>
              </a:solidFill>
              <a:latin typeface="Calibri" pitchFamily="34" charset="0"/>
              <a:ea typeface="+mn-ea"/>
              <a:cs typeface="Calibri" pitchFamily="34" charset="0"/>
            </a:rPr>
            <a:t>Département d'Etudes Politiques et Territoriales </a:t>
          </a:r>
        </a:p>
        <a:p>
          <a:pPr marL="0" marR="0" indent="0" defTabSz="914400" eaLnBrk="1" fontAlgn="auto" latinLnBrk="0" hangingPunct="1">
            <a:lnSpc>
              <a:spcPct val="100000"/>
            </a:lnSpc>
            <a:spcBef>
              <a:spcPts val="0"/>
            </a:spcBef>
            <a:spcAft>
              <a:spcPts val="0"/>
            </a:spcAft>
            <a:buClrTx/>
            <a:buSzTx/>
            <a:buFontTx/>
            <a:buNone/>
            <a:tabLst/>
            <a:defRPr/>
          </a:pPr>
          <a:r>
            <a:rPr lang="fr-FR" sz="1400" strike="sngStrike" baseline="0">
              <a:solidFill>
                <a:srgbClr val="FF0000"/>
              </a:solidFill>
              <a:latin typeface="Calibri" pitchFamily="34" charset="0"/>
              <a:ea typeface="+mn-ea"/>
              <a:cs typeface="Calibri" pitchFamily="34" charset="0"/>
            </a:rPr>
            <a:t>1 </a:t>
          </a:r>
          <a:r>
            <a:rPr lang="fr-FR" sz="800" strike="sngStrike" baseline="0">
              <a:solidFill>
                <a:srgbClr val="FF0000"/>
              </a:solidFill>
              <a:latin typeface="Calibri" pitchFamily="34" charset="0"/>
              <a:ea typeface="+mn-ea"/>
              <a:cs typeface="Calibri" pitchFamily="34" charset="0"/>
            </a:rPr>
            <a:t>Centre Universitaire à Roanne </a:t>
          </a:r>
          <a:r>
            <a:rPr lang="fr-FR" sz="700" strike="sngStrike" baseline="0">
              <a:solidFill>
                <a:srgbClr val="FF0000"/>
              </a:solidFill>
              <a:latin typeface="Calibri" pitchFamily="34" charset="0"/>
              <a:ea typeface="+mn-ea"/>
              <a:cs typeface="Calibri" pitchFamily="34" charset="0"/>
            </a:rPr>
            <a:t>(</a:t>
          </a:r>
          <a:r>
            <a:rPr lang="fr-FR" sz="800" strike="sngStrike" baseline="0">
              <a:solidFill>
                <a:srgbClr val="FF0000"/>
              </a:solidFill>
              <a:latin typeface="Calibri" pitchFamily="34" charset="0"/>
              <a:ea typeface="+mn-ea"/>
              <a:cs typeface="Calibri" pitchFamily="34" charset="0"/>
            </a:rPr>
            <a:t>Les statuts du CUR ont été abrogés par décision du CA en date du 03/07/2018)</a:t>
          </a:r>
        </a:p>
        <a:p>
          <a:r>
            <a:rPr lang="fr-FR" sz="1400">
              <a:solidFill>
                <a:schemeClr val="bg1">
                  <a:lumMod val="50000"/>
                </a:schemeClr>
              </a:solidFill>
              <a:latin typeface="Calibri" pitchFamily="34" charset="0"/>
              <a:ea typeface="+mn-ea"/>
              <a:cs typeface="Calibri" pitchFamily="34" charset="0"/>
            </a:rPr>
            <a:t>1</a:t>
          </a:r>
          <a:r>
            <a:rPr lang="fr-FR" sz="900" i="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Service Commun de la Documentation organisé en </a:t>
          </a:r>
          <a:r>
            <a:rPr lang="fr-FR" sz="1400">
              <a:solidFill>
                <a:schemeClr val="bg1">
                  <a:lumMod val="50000"/>
                </a:schemeClr>
              </a:solidFill>
              <a:latin typeface="Calibri" pitchFamily="34" charset="0"/>
              <a:ea typeface="+mn-ea"/>
              <a:cs typeface="Calibri" pitchFamily="34" charset="0"/>
            </a:rPr>
            <a:t>5</a:t>
          </a:r>
          <a:r>
            <a:rPr lang="fr-FR" sz="900" i="0" baseline="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bibliothèques :  </a:t>
          </a:r>
        </a:p>
        <a:p>
          <a:r>
            <a:rPr lang="fr-FR" sz="800" i="0" baseline="0">
              <a:solidFill>
                <a:schemeClr val="bg1">
                  <a:lumMod val="50000"/>
                </a:schemeClr>
              </a:solidFill>
              <a:latin typeface="Calibri" pitchFamily="34" charset="0"/>
              <a:ea typeface="+mn-ea"/>
              <a:cs typeface="Calibri" pitchFamily="34" charset="0"/>
            </a:rPr>
            <a:t>- Tréfilerie</a:t>
          </a:r>
        </a:p>
        <a:p>
          <a:r>
            <a:rPr lang="fr-FR" sz="800" i="0" baseline="0">
              <a:solidFill>
                <a:schemeClr val="bg1">
                  <a:lumMod val="50000"/>
                </a:schemeClr>
              </a:solidFill>
              <a:latin typeface="Calibri" pitchFamily="34" charset="0"/>
              <a:ea typeface="+mn-ea"/>
              <a:cs typeface="Calibri" pitchFamily="34" charset="0"/>
            </a:rPr>
            <a:t>- Santé</a:t>
          </a:r>
        </a:p>
        <a:p>
          <a:r>
            <a:rPr lang="fr-FR" sz="800" i="0" baseline="0">
              <a:solidFill>
                <a:schemeClr val="bg1">
                  <a:lumMod val="50000"/>
                </a:schemeClr>
              </a:solidFill>
              <a:latin typeface="Calibri" pitchFamily="34" charset="0"/>
              <a:ea typeface="+mn-ea"/>
              <a:cs typeface="Calibri" pitchFamily="34" charset="0"/>
            </a:rPr>
            <a:t>- Métare</a:t>
          </a:r>
        </a:p>
        <a:p>
          <a:pPr marL="0" indent="0"/>
          <a:r>
            <a:rPr lang="fr-FR" sz="800" i="0" baseline="0">
              <a:solidFill>
                <a:schemeClr val="bg1">
                  <a:lumMod val="50000"/>
                </a:schemeClr>
              </a:solidFill>
              <a:latin typeface="Calibri" pitchFamily="34" charset="0"/>
              <a:ea typeface="+mn-ea"/>
              <a:cs typeface="Calibri" pitchFamily="34" charset="0"/>
            </a:rPr>
            <a:t>- Manufacture</a:t>
          </a:r>
        </a:p>
        <a:p>
          <a:r>
            <a:rPr lang="fr-FR" sz="800" i="0" baseline="0">
              <a:solidFill>
                <a:schemeClr val="bg1">
                  <a:lumMod val="50000"/>
                </a:schemeClr>
              </a:solidFill>
              <a:latin typeface="Calibri" pitchFamily="34" charset="0"/>
              <a:ea typeface="+mn-ea"/>
              <a:cs typeface="Calibri" pitchFamily="34" charset="0"/>
            </a:rPr>
            <a:t>- Roanne</a:t>
          </a:r>
        </a:p>
        <a:p>
          <a:pPr>
            <a:lnSpc>
              <a:spcPts val="1900"/>
            </a:lnSpc>
          </a:pPr>
          <a:r>
            <a:rPr lang="fr-FR" sz="800">
              <a:solidFill>
                <a:schemeClr val="bg1">
                  <a:lumMod val="50000"/>
                </a:schemeClr>
              </a:solidFill>
              <a:latin typeface="Calibri" pitchFamily="34" charset="0"/>
              <a:ea typeface="+mn-ea"/>
              <a:cs typeface="Calibri" pitchFamily="34" charset="0"/>
            </a:rPr>
            <a:t>et</a:t>
          </a:r>
          <a:r>
            <a:rPr lang="fr-FR" sz="900" i="0" baseline="0">
              <a:solidFill>
                <a:schemeClr val="bg1">
                  <a:lumMod val="50000"/>
                </a:schemeClr>
              </a:solidFill>
              <a:latin typeface="Calibri" pitchFamily="34" charset="0"/>
              <a:cs typeface="Calibri" pitchFamily="34" charset="0"/>
            </a:rPr>
            <a:t> </a:t>
          </a:r>
          <a:r>
            <a:rPr lang="fr-FR" sz="1400">
              <a:solidFill>
                <a:schemeClr val="bg1">
                  <a:lumMod val="50000"/>
                </a:schemeClr>
              </a:solidFill>
              <a:latin typeface="Calibri" pitchFamily="34" charset="0"/>
              <a:ea typeface="+mn-ea"/>
              <a:cs typeface="Calibri" pitchFamily="34" charset="0"/>
            </a:rPr>
            <a:t>12</a:t>
          </a:r>
          <a:r>
            <a:rPr lang="fr-FR" sz="900" i="0" baseline="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bibliothèques associées</a:t>
          </a:r>
        </a:p>
        <a:p>
          <a:pPr>
            <a:lnSpc>
              <a:spcPts val="1900"/>
            </a:lnSpc>
          </a:pPr>
          <a:r>
            <a:rPr lang="fr-FR" sz="1400">
              <a:solidFill>
                <a:schemeClr val="bg1">
                  <a:lumMod val="50000"/>
                </a:schemeClr>
              </a:solidFill>
              <a:latin typeface="Calibri" pitchFamily="34" charset="0"/>
              <a:ea typeface="+mn-ea"/>
              <a:cs typeface="Calibri" pitchFamily="34" charset="0"/>
            </a:rPr>
            <a:t>1</a:t>
          </a:r>
          <a:r>
            <a:rPr lang="fr-FR" sz="900" i="0" baseline="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Service Universitaire des Activités Physiques et Sportives</a:t>
          </a:r>
        </a:p>
        <a:p>
          <a:pPr>
            <a:lnSpc>
              <a:spcPts val="1900"/>
            </a:lnSpc>
          </a:pPr>
          <a:r>
            <a:rPr lang="fr-FR" sz="1400">
              <a:solidFill>
                <a:schemeClr val="bg1">
                  <a:lumMod val="50000"/>
                </a:schemeClr>
              </a:solidFill>
              <a:latin typeface="Calibri" pitchFamily="34" charset="0"/>
              <a:ea typeface="+mn-ea"/>
              <a:cs typeface="Calibri" pitchFamily="34" charset="0"/>
            </a:rPr>
            <a:t>1</a:t>
          </a:r>
          <a:r>
            <a:rPr lang="fr-FR" sz="900" i="0" baseline="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Service Universitaire de Médecine Préventive et de Prévention de la Santé</a:t>
          </a:r>
        </a:p>
        <a:p>
          <a:pPr>
            <a:lnSpc>
              <a:spcPts val="2100"/>
            </a:lnSpc>
          </a:pPr>
          <a:r>
            <a:rPr lang="fr-FR" sz="900" i="0" baseline="0">
              <a:solidFill>
                <a:schemeClr val="bg1">
                  <a:lumMod val="50000"/>
                </a:schemeClr>
              </a:solidFill>
              <a:latin typeface="Calibri" pitchFamily="34" charset="0"/>
              <a:cs typeface="Calibri" pitchFamily="34" charset="0"/>
            </a:rPr>
            <a:t> </a:t>
          </a:r>
          <a:r>
            <a:rPr lang="fr-FR" sz="1400">
              <a:solidFill>
                <a:schemeClr val="bg1">
                  <a:lumMod val="50000"/>
                </a:schemeClr>
              </a:solidFill>
              <a:latin typeface="Calibri" pitchFamily="34" charset="0"/>
              <a:ea typeface="+mn-ea"/>
              <a:cs typeface="Calibri" pitchFamily="34" charset="0"/>
            </a:rPr>
            <a:t>10</a:t>
          </a:r>
          <a:r>
            <a:rPr lang="fr-FR" sz="900" i="0" baseline="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Directions :</a:t>
          </a:r>
        </a:p>
        <a:p>
          <a:pPr>
            <a:lnSpc>
              <a:spcPts val="1000"/>
            </a:lnSpc>
          </a:pPr>
          <a:r>
            <a:rPr lang="fr-FR" sz="800" i="0" baseline="0">
              <a:solidFill>
                <a:schemeClr val="bg1">
                  <a:lumMod val="50000"/>
                </a:schemeClr>
              </a:solidFill>
              <a:latin typeface="Calibri" pitchFamily="34" charset="0"/>
              <a:cs typeface="Calibri" pitchFamily="34" charset="0"/>
            </a:rPr>
            <a:t>Direction des Services Financiers</a:t>
          </a:r>
        </a:p>
        <a:p>
          <a:r>
            <a:rPr lang="fr-FR" sz="800" i="0" baseline="0">
              <a:solidFill>
                <a:schemeClr val="bg1">
                  <a:lumMod val="50000"/>
                </a:schemeClr>
              </a:solidFill>
              <a:latin typeface="Calibri" pitchFamily="34" charset="0"/>
              <a:cs typeface="Calibri" pitchFamily="34" charset="0"/>
            </a:rPr>
            <a:t>Direction du </a:t>
          </a:r>
          <a:r>
            <a:rPr lang="fr-FR" sz="800" i="0" baseline="0">
              <a:solidFill>
                <a:srgbClr val="FF0000"/>
              </a:solidFill>
              <a:latin typeface="Calibri" pitchFamily="34" charset="0"/>
              <a:cs typeface="Calibri" pitchFamily="34" charset="0"/>
            </a:rPr>
            <a:t>Numérique</a:t>
          </a:r>
        </a:p>
        <a:p>
          <a:pPr>
            <a:lnSpc>
              <a:spcPts val="1000"/>
            </a:lnSpc>
          </a:pPr>
          <a:r>
            <a:rPr lang="fr-FR" sz="800" i="0" baseline="0">
              <a:solidFill>
                <a:schemeClr val="bg1">
                  <a:lumMod val="50000"/>
                </a:schemeClr>
              </a:solidFill>
              <a:latin typeface="Calibri" pitchFamily="34" charset="0"/>
              <a:cs typeface="Calibri" pitchFamily="34" charset="0"/>
            </a:rPr>
            <a:t>Direction des Ressources Humaines</a:t>
          </a:r>
        </a:p>
        <a:p>
          <a:r>
            <a:rPr lang="fr-FR" sz="800" i="0" baseline="0">
              <a:solidFill>
                <a:schemeClr val="bg1">
                  <a:lumMod val="50000"/>
                </a:schemeClr>
              </a:solidFill>
              <a:latin typeface="Calibri" pitchFamily="34" charset="0"/>
              <a:cs typeface="Calibri" pitchFamily="34" charset="0"/>
            </a:rPr>
            <a:t>Direction de la Recherche-Valorisation</a:t>
          </a:r>
        </a:p>
        <a:p>
          <a:pPr marL="0" indent="0">
            <a:lnSpc>
              <a:spcPts val="1000"/>
            </a:lnSpc>
          </a:pPr>
          <a:r>
            <a:rPr lang="fr-FR" sz="800" i="0" baseline="0">
              <a:solidFill>
                <a:schemeClr val="bg1">
                  <a:lumMod val="50000"/>
                </a:schemeClr>
              </a:solidFill>
              <a:latin typeface="Calibri" pitchFamily="34" charset="0"/>
              <a:cs typeface="Calibri" pitchFamily="34" charset="0"/>
            </a:rPr>
            <a:t>Direction de la </a:t>
          </a:r>
          <a:r>
            <a:rPr lang="fr-FR" sz="800" i="0" baseline="0">
              <a:solidFill>
                <a:schemeClr val="bg1">
                  <a:lumMod val="50000"/>
                </a:schemeClr>
              </a:solidFill>
              <a:latin typeface="Calibri" pitchFamily="34" charset="0"/>
              <a:ea typeface="+mn-ea"/>
              <a:cs typeface="Calibri" pitchFamily="34" charset="0"/>
            </a:rPr>
            <a:t>Formation et de l'Insertion Professionnelle</a:t>
          </a:r>
        </a:p>
        <a:p>
          <a:pPr marL="0" indent="0"/>
          <a:r>
            <a:rPr lang="fr-FR" sz="800" i="0" baseline="0">
              <a:solidFill>
                <a:schemeClr val="bg1">
                  <a:lumMod val="50000"/>
                </a:schemeClr>
              </a:solidFill>
              <a:latin typeface="Calibri" pitchFamily="34" charset="0"/>
              <a:ea typeface="+mn-ea"/>
              <a:cs typeface="Calibri" pitchFamily="34" charset="0"/>
            </a:rPr>
            <a:t>Direction du Patrimoine</a:t>
          </a:r>
        </a:p>
        <a:p>
          <a:pPr marL="0" indent="0">
            <a:lnSpc>
              <a:spcPts val="1000"/>
            </a:lnSpc>
          </a:pPr>
          <a:r>
            <a:rPr lang="fr-FR" sz="800" i="0" baseline="0">
              <a:solidFill>
                <a:schemeClr val="bg1">
                  <a:lumMod val="50000"/>
                </a:schemeClr>
              </a:solidFill>
              <a:latin typeface="Calibri" pitchFamily="34" charset="0"/>
              <a:ea typeface="+mn-ea"/>
              <a:cs typeface="Calibri" pitchFamily="34" charset="0"/>
            </a:rPr>
            <a:t>Direction du Pilotage, de l'Audit Interne et de la Qualité</a:t>
          </a:r>
        </a:p>
        <a:p>
          <a:pPr marL="0" indent="0"/>
          <a:r>
            <a:rPr lang="fr-FR" sz="800" i="0" baseline="0">
              <a:solidFill>
                <a:schemeClr val="bg1">
                  <a:lumMod val="50000"/>
                </a:schemeClr>
              </a:solidFill>
              <a:latin typeface="Calibri" pitchFamily="34" charset="0"/>
              <a:ea typeface="+mn-ea"/>
              <a:cs typeface="Calibri" pitchFamily="34" charset="0"/>
            </a:rPr>
            <a:t>Direction de la Communication</a:t>
          </a:r>
        </a:p>
        <a:p>
          <a:pPr marL="0" indent="0">
            <a:lnSpc>
              <a:spcPts val="1000"/>
            </a:lnSpc>
          </a:pPr>
          <a:r>
            <a:rPr lang="fr-FR" sz="800" i="0" baseline="0">
              <a:solidFill>
                <a:schemeClr val="bg1">
                  <a:lumMod val="50000"/>
                </a:schemeClr>
              </a:solidFill>
              <a:latin typeface="Calibri" pitchFamily="34" charset="0"/>
              <a:ea typeface="+mn-ea"/>
              <a:cs typeface="Calibri" pitchFamily="34" charset="0"/>
            </a:rPr>
            <a:t>Direction des Affaires Juridiques et Statutaires</a:t>
          </a:r>
        </a:p>
        <a:p>
          <a:pPr marL="0" indent="0"/>
          <a:r>
            <a:rPr lang="fr-FR" sz="800" i="0" baseline="0">
              <a:solidFill>
                <a:schemeClr val="bg1">
                  <a:lumMod val="50000"/>
                </a:schemeClr>
              </a:solidFill>
              <a:latin typeface="Calibri" pitchFamily="34" charset="0"/>
              <a:ea typeface="+mn-ea"/>
              <a:cs typeface="Calibri" pitchFamily="34" charset="0"/>
            </a:rPr>
            <a:t>Direction de l'International</a:t>
          </a:r>
        </a:p>
        <a:p>
          <a:endParaRPr lang="fr-FR" sz="800" i="0" baseline="0">
            <a:solidFill>
              <a:schemeClr val="bg1">
                <a:lumMod val="50000"/>
              </a:schemeClr>
            </a:solidFill>
            <a:latin typeface="Calibri" pitchFamily="34" charset="0"/>
            <a:ea typeface="+mn-ea"/>
            <a:cs typeface="Calibri" pitchFamily="34" charset="0"/>
          </a:endParaRPr>
        </a:p>
        <a:p>
          <a:pPr>
            <a:lnSpc>
              <a:spcPts val="1000"/>
            </a:lnSpc>
          </a:pPr>
          <a:r>
            <a:rPr lang="fr-FR" sz="1400">
              <a:solidFill>
                <a:schemeClr val="bg1">
                  <a:lumMod val="50000"/>
                </a:schemeClr>
              </a:solidFill>
              <a:latin typeface="Calibri" pitchFamily="34" charset="0"/>
              <a:ea typeface="+mn-ea"/>
              <a:cs typeface="Calibri" pitchFamily="34" charset="0"/>
            </a:rPr>
            <a:t>1 </a:t>
          </a:r>
          <a:r>
            <a:rPr lang="fr-FR" sz="800" i="0" baseline="0">
              <a:solidFill>
                <a:schemeClr val="bg1">
                  <a:lumMod val="50000"/>
                </a:schemeClr>
              </a:solidFill>
              <a:latin typeface="Calibri" pitchFamily="34" charset="0"/>
              <a:ea typeface="+mn-ea"/>
              <a:cs typeface="Calibri" pitchFamily="34" charset="0"/>
            </a:rPr>
            <a:t>Agence comptable</a:t>
          </a:r>
        </a:p>
      </xdr:txBody>
    </xdr:sp>
    <xdr:clientData/>
  </xdr:twoCellAnchor>
  <xdr:twoCellAnchor>
    <xdr:from>
      <xdr:col>8</xdr:col>
      <xdr:colOff>210609</xdr:colOff>
      <xdr:row>9</xdr:row>
      <xdr:rowOff>3809</xdr:rowOff>
    </xdr:from>
    <xdr:to>
      <xdr:col>13</xdr:col>
      <xdr:colOff>207432</xdr:colOff>
      <xdr:row>22</xdr:row>
      <xdr:rowOff>4233</xdr:rowOff>
    </xdr:to>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5735109" y="1718309"/>
          <a:ext cx="3449636" cy="2476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bg1">
                  <a:lumMod val="50000"/>
                </a:schemeClr>
              </a:solidFill>
              <a:effectLst/>
              <a:latin typeface="Calibri" pitchFamily="34" charset="0"/>
              <a:ea typeface="+mn-ea"/>
              <a:cs typeface="Calibri" pitchFamily="34" charset="0"/>
            </a:rPr>
            <a:t>L’activité de recherche en 2019</a:t>
          </a:r>
          <a:r>
            <a:rPr lang="fr-FR" sz="1400">
              <a:solidFill>
                <a:srgbClr val="FF0000"/>
              </a:solidFill>
              <a:effectLst/>
              <a:latin typeface="Calibri" pitchFamily="34" charset="0"/>
              <a:ea typeface="+mn-ea"/>
              <a:cs typeface="Calibri" pitchFamily="34" charset="0"/>
            </a:rPr>
            <a:t> </a:t>
          </a:r>
        </a:p>
        <a:p>
          <a:endParaRPr lang="fr-FR" sz="1600">
            <a:solidFill>
              <a:schemeClr val="bg1">
                <a:lumMod val="50000"/>
              </a:schemeClr>
            </a:solidFill>
            <a:latin typeface="Calibri" pitchFamily="34" charset="0"/>
            <a:ea typeface="+mn-ea"/>
            <a:cs typeface="Calibri" pitchFamily="34" charset="0"/>
          </a:endParaRPr>
        </a:p>
        <a:p>
          <a:r>
            <a:rPr lang="fr-FR" sz="1400">
              <a:solidFill>
                <a:schemeClr val="bg1">
                  <a:lumMod val="50000"/>
                </a:schemeClr>
              </a:solidFill>
              <a:latin typeface="Calibri" pitchFamily="34" charset="0"/>
              <a:ea typeface="+mn-ea"/>
              <a:cs typeface="Calibri" pitchFamily="34" charset="0"/>
            </a:rPr>
            <a:t>34</a:t>
          </a:r>
          <a:r>
            <a:rPr lang="fr-FR" sz="1100">
              <a:solidFill>
                <a:schemeClr val="bg1">
                  <a:lumMod val="50000"/>
                </a:schemeClr>
              </a:solidFill>
            </a:rPr>
            <a:t> </a:t>
          </a:r>
          <a:r>
            <a:rPr lang="fr-FR" sz="900" b="0" i="0">
              <a:solidFill>
                <a:schemeClr val="bg1">
                  <a:lumMod val="50000"/>
                </a:schemeClr>
              </a:solidFill>
              <a:effectLst/>
              <a:latin typeface="Calibri" pitchFamily="34" charset="0"/>
              <a:ea typeface="+mn-ea"/>
              <a:cs typeface="Calibri" pitchFamily="34" charset="0"/>
            </a:rPr>
            <a:t>Equipes de recherche</a:t>
          </a:r>
        </a:p>
        <a:p>
          <a:r>
            <a:rPr lang="fr-FR" sz="900" b="0" i="0">
              <a:solidFill>
                <a:schemeClr val="bg1">
                  <a:lumMod val="50000"/>
                </a:schemeClr>
              </a:solidFill>
              <a:effectLst/>
              <a:latin typeface="Calibri" pitchFamily="34" charset="0"/>
              <a:ea typeface="+mn-ea"/>
              <a:cs typeface="Calibri" pitchFamily="34" charset="0"/>
            </a:rPr>
            <a:t>dont </a:t>
          </a:r>
          <a:r>
            <a:rPr lang="fr-FR" sz="1400">
              <a:solidFill>
                <a:schemeClr val="bg1">
                  <a:lumMod val="50000"/>
                </a:schemeClr>
              </a:solidFill>
              <a:latin typeface="Calibri" pitchFamily="34" charset="0"/>
              <a:ea typeface="+mn-ea"/>
              <a:cs typeface="Calibri" pitchFamily="34" charset="0"/>
            </a:rPr>
            <a:t>18 </a:t>
          </a:r>
          <a:r>
            <a:rPr lang="fr-FR" sz="900" b="0" i="0">
              <a:solidFill>
                <a:schemeClr val="bg1">
                  <a:lumMod val="50000"/>
                </a:schemeClr>
              </a:solidFill>
              <a:effectLst/>
              <a:latin typeface="Calibri" pitchFamily="34" charset="0"/>
              <a:ea typeface="+mn-ea"/>
              <a:cs typeface="Calibri" pitchFamily="34" charset="0"/>
            </a:rPr>
            <a:t>UMR, </a:t>
          </a:r>
          <a:r>
            <a:rPr lang="fr-FR" sz="1400">
              <a:solidFill>
                <a:schemeClr val="bg1">
                  <a:lumMod val="50000"/>
                </a:schemeClr>
              </a:solidFill>
              <a:latin typeface="Calibri" pitchFamily="34" charset="0"/>
              <a:ea typeface="+mn-ea"/>
              <a:cs typeface="Calibri" pitchFamily="34" charset="0"/>
            </a:rPr>
            <a:t>16</a:t>
          </a:r>
          <a:r>
            <a:rPr lang="fr-FR" sz="900" b="0" i="0">
              <a:solidFill>
                <a:schemeClr val="bg1">
                  <a:lumMod val="50000"/>
                </a:schemeClr>
              </a:solidFill>
              <a:effectLst/>
              <a:latin typeface="Calibri" pitchFamily="34" charset="0"/>
              <a:ea typeface="+mn-ea"/>
              <a:cs typeface="Calibri" pitchFamily="34" charset="0"/>
            </a:rPr>
            <a:t> CNRS, </a:t>
          </a:r>
          <a:r>
            <a:rPr lang="fr-FR" sz="1400">
              <a:solidFill>
                <a:schemeClr val="bg1">
                  <a:lumMod val="50000"/>
                </a:schemeClr>
              </a:solidFill>
              <a:latin typeface="Calibri" pitchFamily="34" charset="0"/>
              <a:ea typeface="+mn-ea"/>
              <a:cs typeface="Calibri" pitchFamily="34" charset="0"/>
            </a:rPr>
            <a:t>1</a:t>
          </a:r>
          <a:r>
            <a:rPr lang="fr-FR" sz="900" b="0" i="0">
              <a:solidFill>
                <a:schemeClr val="bg1">
                  <a:lumMod val="50000"/>
                </a:schemeClr>
              </a:solidFill>
              <a:effectLst/>
              <a:latin typeface="Calibri" pitchFamily="34" charset="0"/>
              <a:ea typeface="+mn-ea"/>
              <a:cs typeface="Calibri" pitchFamily="34" charset="0"/>
            </a:rPr>
            <a:t> INSERM, </a:t>
          </a:r>
          <a:r>
            <a:rPr lang="fr-FR" sz="1400">
              <a:solidFill>
                <a:schemeClr val="bg1">
                  <a:lumMod val="50000"/>
                </a:schemeClr>
              </a:solidFill>
              <a:latin typeface="Calibri" pitchFamily="34" charset="0"/>
              <a:ea typeface="+mn-ea"/>
              <a:cs typeface="Calibri" pitchFamily="34" charset="0"/>
            </a:rPr>
            <a:t>1</a:t>
          </a:r>
          <a:r>
            <a:rPr lang="fr-FR" sz="900" b="0" i="0">
              <a:solidFill>
                <a:schemeClr val="bg1">
                  <a:lumMod val="50000"/>
                </a:schemeClr>
              </a:solidFill>
              <a:effectLst/>
              <a:latin typeface="Calibri" pitchFamily="34" charset="0"/>
              <a:ea typeface="+mn-ea"/>
              <a:cs typeface="Calibri" pitchFamily="34" charset="0"/>
            </a:rPr>
            <a:t> mixte INSERM/CNRS</a:t>
          </a:r>
        </a:p>
        <a:p>
          <a:r>
            <a:rPr lang="fr-FR" sz="1400">
              <a:solidFill>
                <a:schemeClr val="bg1">
                  <a:lumMod val="65000"/>
                </a:schemeClr>
              </a:solidFill>
              <a:latin typeface="Calibri" pitchFamily="34" charset="0"/>
              <a:ea typeface="+mn-ea"/>
              <a:cs typeface="Calibri" pitchFamily="34" charset="0"/>
            </a:rPr>
            <a:t>6</a:t>
          </a:r>
          <a:r>
            <a:rPr lang="fr-FR" sz="900" b="0" i="0">
              <a:solidFill>
                <a:schemeClr val="bg1">
                  <a:lumMod val="50000"/>
                </a:schemeClr>
              </a:solidFill>
              <a:effectLst/>
              <a:latin typeface="Calibri" pitchFamily="34" charset="0"/>
              <a:ea typeface="+mn-ea"/>
              <a:cs typeface="Calibri" pitchFamily="34" charset="0"/>
            </a:rPr>
            <a:t> structures fédératives</a:t>
          </a:r>
        </a:p>
        <a:p>
          <a:r>
            <a:rPr lang="fr-FR" sz="1400">
              <a:solidFill>
                <a:schemeClr val="bg1">
                  <a:lumMod val="50000"/>
                </a:schemeClr>
              </a:solidFill>
              <a:latin typeface="Calibri" pitchFamily="34" charset="0"/>
              <a:ea typeface="+mn-ea"/>
              <a:cs typeface="Calibri" pitchFamily="34" charset="0"/>
            </a:rPr>
            <a:t>1</a:t>
          </a:r>
          <a:r>
            <a:rPr lang="fr-FR" sz="900" b="0" i="0">
              <a:solidFill>
                <a:schemeClr val="bg1">
                  <a:lumMod val="50000"/>
                </a:schemeClr>
              </a:solidFill>
              <a:effectLst/>
              <a:latin typeface="Calibri" pitchFamily="34" charset="0"/>
              <a:ea typeface="+mn-ea"/>
              <a:cs typeface="Calibri" pitchFamily="34" charset="0"/>
            </a:rPr>
            <a:t> Coordination doctorale de site regroupant </a:t>
          </a:r>
          <a:r>
            <a:rPr lang="fr-FR" sz="1400">
              <a:solidFill>
                <a:schemeClr val="bg1">
                  <a:lumMod val="50000"/>
                </a:schemeClr>
              </a:solidFill>
              <a:latin typeface="Calibri" pitchFamily="34" charset="0"/>
              <a:ea typeface="+mn-ea"/>
              <a:cs typeface="Calibri" pitchFamily="34" charset="0"/>
            </a:rPr>
            <a:t>6</a:t>
          </a:r>
          <a:r>
            <a:rPr lang="fr-FR" sz="900" b="0" i="0">
              <a:solidFill>
                <a:schemeClr val="bg1">
                  <a:lumMod val="50000"/>
                </a:schemeClr>
              </a:solidFill>
              <a:effectLst/>
              <a:latin typeface="Calibri" pitchFamily="34" charset="0"/>
              <a:ea typeface="+mn-ea"/>
              <a:cs typeface="Calibri" pitchFamily="34" charset="0"/>
            </a:rPr>
            <a:t> écoles doctorales</a:t>
          </a:r>
        </a:p>
        <a:p>
          <a:r>
            <a:rPr lang="fr-FR" sz="1400">
              <a:solidFill>
                <a:srgbClr val="FF0000"/>
              </a:solidFill>
              <a:latin typeface="Calibri" pitchFamily="34" charset="0"/>
              <a:ea typeface="+mn-ea"/>
              <a:cs typeface="Calibri" pitchFamily="34" charset="0"/>
            </a:rPr>
            <a:t>12 975 </a:t>
          </a:r>
          <a:r>
            <a:rPr lang="fr-FR" sz="900" b="0" i="0">
              <a:solidFill>
                <a:schemeClr val="bg1">
                  <a:lumMod val="50000"/>
                </a:schemeClr>
              </a:solidFill>
              <a:effectLst/>
              <a:latin typeface="Calibri" pitchFamily="34" charset="0"/>
              <a:ea typeface="+mn-ea"/>
              <a:cs typeface="Calibri" pitchFamily="34" charset="0"/>
            </a:rPr>
            <a:t>K€ de contrats de recherche</a:t>
          </a:r>
        </a:p>
        <a:p>
          <a:r>
            <a:rPr lang="fr-FR" sz="900" b="0" i="0">
              <a:solidFill>
                <a:schemeClr val="bg1">
                  <a:lumMod val="50000"/>
                </a:schemeClr>
              </a:solidFill>
              <a:effectLst/>
              <a:latin typeface="Calibri" pitchFamily="34" charset="0"/>
              <a:ea typeface="+mn-ea"/>
              <a:cs typeface="Calibri" pitchFamily="34" charset="0"/>
            </a:rPr>
            <a:t>dont</a:t>
          </a:r>
        </a:p>
        <a:p>
          <a:r>
            <a:rPr lang="fr-FR" sz="1400">
              <a:solidFill>
                <a:srgbClr val="FF0000"/>
              </a:solidFill>
              <a:latin typeface="Calibri" pitchFamily="34" charset="0"/>
              <a:ea typeface="+mn-ea"/>
              <a:cs typeface="Calibri" pitchFamily="34" charset="0"/>
            </a:rPr>
            <a:t>1 303 </a:t>
          </a:r>
          <a:r>
            <a:rPr lang="fr-FR" sz="900" b="0" i="0">
              <a:solidFill>
                <a:schemeClr val="bg1">
                  <a:lumMod val="50000"/>
                </a:schemeClr>
              </a:solidFill>
              <a:effectLst/>
              <a:latin typeface="Calibri" pitchFamily="34" charset="0"/>
              <a:ea typeface="+mn-ea"/>
              <a:cs typeface="Calibri" pitchFamily="34" charset="0"/>
            </a:rPr>
            <a:t>K€ de contrats SAIC</a:t>
          </a:r>
        </a:p>
        <a:p>
          <a:endParaRPr lang="fr-FR" sz="900" b="0" i="0">
            <a:solidFill>
              <a:schemeClr val="bg1">
                <a:lumMod val="50000"/>
              </a:schemeClr>
            </a:solidFill>
            <a:effectLst/>
            <a:latin typeface="Calibri" pitchFamily="34" charset="0"/>
            <a:ea typeface="+mn-ea"/>
            <a:cs typeface="Calibri" pitchFamily="34" charset="0"/>
          </a:endParaRPr>
        </a:p>
        <a:p>
          <a:r>
            <a:rPr lang="fr-FR" sz="800" b="0" i="1">
              <a:solidFill>
                <a:schemeClr val="bg1">
                  <a:lumMod val="50000"/>
                </a:schemeClr>
              </a:solidFill>
              <a:effectLst/>
              <a:latin typeface="Calibri" pitchFamily="34" charset="0"/>
              <a:ea typeface="+mn-ea"/>
              <a:cs typeface="Calibri" pitchFamily="34" charset="0"/>
            </a:rPr>
            <a:t>Source : DRV - Direction de la Recherche et de la Valorisation</a:t>
          </a:r>
        </a:p>
      </xdr:txBody>
    </xdr:sp>
    <xdr:clientData/>
  </xdr:twoCellAnchor>
  <xdr:twoCellAnchor>
    <xdr:from>
      <xdr:col>1</xdr:col>
      <xdr:colOff>656376</xdr:colOff>
      <xdr:row>40</xdr:row>
      <xdr:rowOff>145787</xdr:rowOff>
    </xdr:from>
    <xdr:to>
      <xdr:col>7</xdr:col>
      <xdr:colOff>275166</xdr:colOff>
      <xdr:row>49</xdr:row>
      <xdr:rowOff>25136</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1346939" y="7765787"/>
          <a:ext cx="3762165" cy="1593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bg1">
                  <a:lumMod val="50000"/>
                </a:schemeClr>
              </a:solidFill>
              <a:effectLst/>
              <a:latin typeface="Calibri" pitchFamily="34" charset="0"/>
              <a:ea typeface="+mn-ea"/>
              <a:cs typeface="Calibri" pitchFamily="34" charset="0"/>
            </a:rPr>
            <a:t>Les Etudiants </a:t>
          </a:r>
          <a:r>
            <a:rPr lang="fr-FR" sz="900" b="0" i="0">
              <a:solidFill>
                <a:schemeClr val="bg1">
                  <a:lumMod val="50000"/>
                </a:schemeClr>
              </a:solidFill>
              <a:effectLst/>
              <a:latin typeface="Calibri" pitchFamily="34" charset="0"/>
              <a:ea typeface="+mn-ea"/>
              <a:cs typeface="Calibri" pitchFamily="34" charset="0"/>
            </a:rPr>
            <a:t>(effectifs 2018-2019)</a:t>
          </a:r>
        </a:p>
        <a:p>
          <a:endParaRPr lang="fr-FR" sz="1100">
            <a:solidFill>
              <a:schemeClr val="bg1">
                <a:lumMod val="50000"/>
              </a:schemeClr>
            </a:solidFill>
          </a:endParaRPr>
        </a:p>
        <a:p>
          <a:pPr marL="0" indent="0"/>
          <a:r>
            <a:rPr lang="fr-FR" sz="1800">
              <a:solidFill>
                <a:srgbClr val="FF0000"/>
              </a:solidFill>
              <a:latin typeface="Calibri" pitchFamily="34" charset="0"/>
              <a:ea typeface="+mn-ea"/>
              <a:cs typeface="Calibri" pitchFamily="34" charset="0"/>
            </a:rPr>
            <a:t>20 411 </a:t>
          </a:r>
          <a:r>
            <a:rPr lang="fr-FR" sz="900" b="0" i="0">
              <a:solidFill>
                <a:schemeClr val="bg1">
                  <a:lumMod val="50000"/>
                </a:schemeClr>
              </a:solidFill>
              <a:effectLst/>
              <a:latin typeface="Calibri" pitchFamily="34" charset="0"/>
              <a:ea typeface="+mn-ea"/>
              <a:cs typeface="Calibri" pitchFamily="34" charset="0"/>
            </a:rPr>
            <a:t>Inscrits en formation diplômante (initiale ou continue) </a:t>
          </a:r>
        </a:p>
        <a:p>
          <a:pPr marL="0" indent="0"/>
          <a:r>
            <a:rPr lang="fr-FR" sz="1800">
              <a:solidFill>
                <a:srgbClr val="FF0000"/>
              </a:solidFill>
              <a:latin typeface="Calibri" pitchFamily="34" charset="0"/>
              <a:ea typeface="+mn-ea"/>
              <a:cs typeface="Calibri" pitchFamily="34" charset="0"/>
            </a:rPr>
            <a:t>3 039 </a:t>
          </a:r>
          <a:r>
            <a:rPr lang="fr-FR" sz="900" b="0" i="0">
              <a:solidFill>
                <a:schemeClr val="bg1">
                  <a:lumMod val="50000"/>
                </a:schemeClr>
              </a:solidFill>
              <a:effectLst/>
              <a:latin typeface="Calibri" pitchFamily="34" charset="0"/>
              <a:ea typeface="+mn-ea"/>
              <a:cs typeface="Calibri" pitchFamily="34" charset="0"/>
            </a:rPr>
            <a:t>Etudiants étrangers</a:t>
          </a:r>
        </a:p>
        <a:p>
          <a:pPr marL="0" indent="0"/>
          <a:endParaRPr lang="fr-FR" sz="900" b="0" i="0">
            <a:solidFill>
              <a:schemeClr val="bg1">
                <a:lumMod val="50000"/>
              </a:schemeClr>
            </a:solidFill>
            <a:effectLst/>
            <a:latin typeface="Calibri" pitchFamily="34" charset="0"/>
            <a:ea typeface="+mn-ea"/>
            <a:cs typeface="Calibri"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800" b="0" i="1">
              <a:solidFill>
                <a:schemeClr val="bg1">
                  <a:lumMod val="50000"/>
                </a:schemeClr>
              </a:solidFill>
              <a:effectLst/>
              <a:latin typeface="Calibri" pitchFamily="34" charset="0"/>
              <a:ea typeface="+mn-ea"/>
              <a:cs typeface="Calibri" pitchFamily="34" charset="0"/>
            </a:rPr>
            <a:t>Source : Direction du Pilotage, de l'Audit Interne et de la Qualité</a:t>
          </a:r>
        </a:p>
        <a:p>
          <a:pPr marL="0" marR="0" indent="0" defTabSz="914400" eaLnBrk="1" fontAlgn="auto" latinLnBrk="0" hangingPunct="1">
            <a:lnSpc>
              <a:spcPct val="100000"/>
            </a:lnSpc>
            <a:spcBef>
              <a:spcPts val="0"/>
            </a:spcBef>
            <a:spcAft>
              <a:spcPts val="0"/>
            </a:spcAft>
            <a:buClrTx/>
            <a:buSzTx/>
            <a:buFontTx/>
            <a:buNone/>
            <a:tabLst/>
            <a:defRPr/>
          </a:pPr>
          <a:endParaRPr lang="fr-FR" sz="900" b="0" i="1">
            <a:solidFill>
              <a:schemeClr val="bg1">
                <a:lumMod val="50000"/>
              </a:schemeClr>
            </a:solidFill>
            <a:effectLst/>
            <a:latin typeface="Calibri" pitchFamily="34" charset="0"/>
            <a:ea typeface="+mn-ea"/>
            <a:cs typeface="Calibri" pitchFamily="34" charset="0"/>
          </a:endParaRPr>
        </a:p>
        <a:p>
          <a:pPr marL="0" indent="0"/>
          <a:endParaRPr lang="fr-FR" sz="900" b="0" i="0">
            <a:solidFill>
              <a:schemeClr val="bg1">
                <a:lumMod val="50000"/>
              </a:schemeClr>
            </a:solidFill>
            <a:effectLst/>
            <a:latin typeface="Calibri" pitchFamily="34" charset="0"/>
            <a:ea typeface="+mn-ea"/>
            <a:cs typeface="Calibri" pitchFamily="34" charset="0"/>
          </a:endParaRPr>
        </a:p>
      </xdr:txBody>
    </xdr:sp>
    <xdr:clientData/>
  </xdr:twoCellAnchor>
  <xdr:twoCellAnchor>
    <xdr:from>
      <xdr:col>1</xdr:col>
      <xdr:colOff>671409</xdr:colOff>
      <xdr:row>49</xdr:row>
      <xdr:rowOff>110597</xdr:rowOff>
    </xdr:from>
    <xdr:to>
      <xdr:col>7</xdr:col>
      <xdr:colOff>275167</xdr:colOff>
      <xdr:row>70</xdr:row>
      <xdr:rowOff>73269</xdr:rowOff>
    </xdr:to>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1367467" y="9445097"/>
          <a:ext cx="3780104" cy="3963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bg1">
                  <a:lumMod val="50000"/>
                </a:schemeClr>
              </a:solidFill>
              <a:effectLst/>
              <a:latin typeface="Calibri" pitchFamily="34" charset="0"/>
              <a:ea typeface="+mn-ea"/>
              <a:cs typeface="Calibri" pitchFamily="34" charset="0"/>
            </a:rPr>
            <a:t>Les Formations </a:t>
          </a:r>
          <a:r>
            <a:rPr lang="fr-FR" sz="900" i="0" baseline="0">
              <a:solidFill>
                <a:schemeClr val="bg1">
                  <a:lumMod val="50000"/>
                </a:schemeClr>
              </a:solidFill>
              <a:latin typeface="Calibri" pitchFamily="34" charset="0"/>
              <a:ea typeface="+mn-ea"/>
              <a:cs typeface="Calibri" pitchFamily="34" charset="0"/>
            </a:rPr>
            <a:t>(année 2018-2019) </a:t>
          </a:r>
        </a:p>
        <a:p>
          <a:endParaRPr lang="fr-FR" sz="900" i="0" baseline="0">
            <a:solidFill>
              <a:schemeClr val="bg1">
                <a:lumMod val="50000"/>
              </a:schemeClr>
            </a:solidFill>
            <a:latin typeface="Calibri" pitchFamily="34" charset="0"/>
            <a:ea typeface="+mn-ea"/>
            <a:cs typeface="Calibri" pitchFamily="34" charset="0"/>
          </a:endParaRPr>
        </a:p>
        <a:p>
          <a:r>
            <a:rPr lang="fr-FR" sz="1800">
              <a:solidFill>
                <a:schemeClr val="bg1">
                  <a:lumMod val="50000"/>
                </a:schemeClr>
              </a:solidFill>
              <a:latin typeface="Calibri" pitchFamily="34" charset="0"/>
              <a:ea typeface="+mn-ea"/>
              <a:cs typeface="Calibri" pitchFamily="34" charset="0"/>
            </a:rPr>
            <a:t>4 </a:t>
          </a:r>
          <a:r>
            <a:rPr lang="fr-FR" sz="900" i="0" baseline="0">
              <a:solidFill>
                <a:schemeClr val="bg1">
                  <a:lumMod val="50000"/>
                </a:schemeClr>
              </a:solidFill>
              <a:latin typeface="Calibri" pitchFamily="34" charset="0"/>
              <a:ea typeface="+mn-ea"/>
              <a:cs typeface="Calibri" pitchFamily="34" charset="0"/>
            </a:rPr>
            <a:t>Domaines :</a:t>
          </a:r>
        </a:p>
        <a:p>
          <a:r>
            <a:rPr lang="fr-FR" sz="900" i="0" baseline="0">
              <a:solidFill>
                <a:schemeClr val="bg1">
                  <a:lumMod val="50000"/>
                </a:schemeClr>
              </a:solidFill>
              <a:latin typeface="Calibri" pitchFamily="34" charset="0"/>
              <a:ea typeface="+mn-ea"/>
              <a:cs typeface="Calibri" pitchFamily="34" charset="0"/>
            </a:rPr>
            <a:t>Arts, Lettres, Langues</a:t>
          </a:r>
        </a:p>
        <a:p>
          <a:r>
            <a:rPr lang="fr-FR" sz="900" i="0" baseline="0">
              <a:solidFill>
                <a:schemeClr val="bg1">
                  <a:lumMod val="50000"/>
                </a:schemeClr>
              </a:solidFill>
              <a:latin typeface="Calibri" pitchFamily="34" charset="0"/>
              <a:ea typeface="+mn-ea"/>
              <a:cs typeface="Calibri" pitchFamily="34" charset="0"/>
            </a:rPr>
            <a:t>Sciences Humaines et Sociales</a:t>
          </a:r>
        </a:p>
        <a:p>
          <a:r>
            <a:rPr lang="fr-FR" sz="900" i="0" baseline="0">
              <a:solidFill>
                <a:schemeClr val="bg1">
                  <a:lumMod val="50000"/>
                </a:schemeClr>
              </a:solidFill>
              <a:latin typeface="Calibri" pitchFamily="34" charset="0"/>
              <a:ea typeface="+mn-ea"/>
              <a:cs typeface="Calibri" pitchFamily="34" charset="0"/>
            </a:rPr>
            <a:t>Droit, Economie, Gestion</a:t>
          </a:r>
        </a:p>
        <a:p>
          <a:r>
            <a:rPr lang="fr-FR" sz="900" i="0" baseline="0">
              <a:solidFill>
                <a:schemeClr val="bg1">
                  <a:lumMod val="50000"/>
                </a:schemeClr>
              </a:solidFill>
              <a:latin typeface="Calibri" pitchFamily="34" charset="0"/>
              <a:ea typeface="+mn-ea"/>
              <a:cs typeface="Calibri" pitchFamily="34" charset="0"/>
            </a:rPr>
            <a:t>Sciences, Technologies, Santé </a:t>
          </a:r>
        </a:p>
        <a:p>
          <a:r>
            <a:rPr lang="fr-FR" sz="1800">
              <a:solidFill>
                <a:schemeClr val="bg1">
                  <a:lumMod val="50000"/>
                </a:schemeClr>
              </a:solidFill>
              <a:latin typeface="Calibri" pitchFamily="34" charset="0"/>
              <a:ea typeface="+mn-ea"/>
              <a:cs typeface="Calibri" pitchFamily="34" charset="0"/>
            </a:rPr>
            <a:t>27</a:t>
          </a:r>
          <a:r>
            <a:rPr lang="fr-FR" sz="900" i="0" baseline="0">
              <a:solidFill>
                <a:schemeClr val="bg1">
                  <a:lumMod val="50000"/>
                </a:schemeClr>
              </a:solidFill>
              <a:latin typeface="Calibri" pitchFamily="34" charset="0"/>
              <a:ea typeface="+mn-ea"/>
              <a:cs typeface="Calibri" pitchFamily="34" charset="0"/>
            </a:rPr>
            <a:t> Mentions de licences généralistes</a:t>
          </a:r>
        </a:p>
        <a:p>
          <a:r>
            <a:rPr lang="fr-FR" sz="1800">
              <a:solidFill>
                <a:schemeClr val="bg1">
                  <a:lumMod val="50000"/>
                </a:schemeClr>
              </a:solidFill>
              <a:latin typeface="Calibri" pitchFamily="34" charset="0"/>
              <a:ea typeface="+mn-ea"/>
              <a:cs typeface="Calibri" pitchFamily="34" charset="0"/>
            </a:rPr>
            <a:t>25</a:t>
          </a:r>
          <a:r>
            <a:rPr lang="fr-FR" sz="900" i="0" baseline="0">
              <a:solidFill>
                <a:schemeClr val="bg1">
                  <a:lumMod val="50000"/>
                </a:schemeClr>
              </a:solidFill>
              <a:latin typeface="Calibri" pitchFamily="34" charset="0"/>
              <a:ea typeface="+mn-ea"/>
              <a:cs typeface="Calibri" pitchFamily="34" charset="0"/>
            </a:rPr>
            <a:t> Spécialités de licences professionnelles </a:t>
          </a:r>
        </a:p>
        <a:p>
          <a:r>
            <a:rPr lang="fr-FR" sz="1800">
              <a:solidFill>
                <a:schemeClr val="bg1">
                  <a:lumMod val="50000"/>
                </a:schemeClr>
              </a:solidFill>
              <a:latin typeface="Calibri" pitchFamily="34" charset="0"/>
              <a:ea typeface="+mn-ea"/>
              <a:cs typeface="Calibri" pitchFamily="34" charset="0"/>
            </a:rPr>
            <a:t>56 </a:t>
          </a:r>
          <a:r>
            <a:rPr lang="fr-FR" sz="900" i="0" baseline="0">
              <a:solidFill>
                <a:schemeClr val="bg1">
                  <a:lumMod val="50000"/>
                </a:schemeClr>
              </a:solidFill>
              <a:latin typeface="Calibri" pitchFamily="34" charset="0"/>
              <a:ea typeface="+mn-ea"/>
              <a:cs typeface="Calibri" pitchFamily="34" charset="0"/>
            </a:rPr>
            <a:t>Spécialités de masters</a:t>
          </a:r>
        </a:p>
        <a:p>
          <a:r>
            <a:rPr lang="fr-FR" sz="1800">
              <a:solidFill>
                <a:schemeClr val="bg1">
                  <a:lumMod val="50000"/>
                </a:schemeClr>
              </a:solidFill>
              <a:latin typeface="Calibri" pitchFamily="34" charset="0"/>
              <a:ea typeface="+mn-ea"/>
              <a:cs typeface="Calibri" pitchFamily="34" charset="0"/>
            </a:rPr>
            <a:t>12</a:t>
          </a:r>
          <a:r>
            <a:rPr lang="fr-FR" sz="900" i="0" baseline="0">
              <a:solidFill>
                <a:schemeClr val="bg1">
                  <a:lumMod val="50000"/>
                </a:schemeClr>
              </a:solidFill>
              <a:latin typeface="Calibri" pitchFamily="34" charset="0"/>
              <a:ea typeface="+mn-ea"/>
              <a:cs typeface="Calibri" pitchFamily="34" charset="0"/>
            </a:rPr>
            <a:t> Parcours de master Métiers de l'Enseignement, de l'Education et de la Formation (MEEF)</a:t>
          </a:r>
        </a:p>
        <a:p>
          <a:pPr marL="0" marR="0" indent="0" defTabSz="914400" eaLnBrk="1" fontAlgn="auto" latinLnBrk="0" hangingPunct="1">
            <a:lnSpc>
              <a:spcPct val="100000"/>
            </a:lnSpc>
            <a:spcBef>
              <a:spcPts val="0"/>
            </a:spcBef>
            <a:spcAft>
              <a:spcPts val="0"/>
            </a:spcAft>
            <a:buClrTx/>
            <a:buSzTx/>
            <a:buFontTx/>
            <a:buNone/>
            <a:tabLst/>
            <a:defRPr/>
          </a:pPr>
          <a:r>
            <a:rPr lang="fr-FR" sz="1800">
              <a:solidFill>
                <a:schemeClr val="bg1">
                  <a:lumMod val="50000"/>
                </a:schemeClr>
              </a:solidFill>
              <a:latin typeface="Calibri" pitchFamily="34" charset="0"/>
              <a:ea typeface="+mn-ea"/>
              <a:cs typeface="Calibri" pitchFamily="34" charset="0"/>
            </a:rPr>
            <a:t>10</a:t>
          </a:r>
          <a:r>
            <a:rPr lang="fr-FR" sz="1100" i="0" baseline="0">
              <a:solidFill>
                <a:schemeClr val="bg1">
                  <a:lumMod val="50000"/>
                </a:schemeClr>
              </a:solidFill>
              <a:effectLst/>
              <a:latin typeface="+mn-lt"/>
              <a:ea typeface="+mn-ea"/>
              <a:cs typeface="+mn-cs"/>
            </a:rPr>
            <a:t> </a:t>
          </a:r>
          <a:r>
            <a:rPr lang="fr-FR" sz="900" i="0" baseline="0">
              <a:solidFill>
                <a:schemeClr val="bg1">
                  <a:lumMod val="50000"/>
                </a:schemeClr>
              </a:solidFill>
              <a:latin typeface="Calibri" pitchFamily="34" charset="0"/>
              <a:ea typeface="+mn-ea"/>
              <a:cs typeface="Calibri" pitchFamily="34" charset="0"/>
            </a:rPr>
            <a:t>Diplômes Universitaires de Technologie  </a:t>
          </a:r>
        </a:p>
        <a:p>
          <a:endParaRPr lang="fr-FR" sz="900" i="0" baseline="0">
            <a:solidFill>
              <a:schemeClr val="bg1">
                <a:lumMod val="50000"/>
              </a:schemeClr>
            </a:solidFill>
            <a:latin typeface="Calibri" pitchFamily="34" charset="0"/>
            <a:ea typeface="+mn-ea"/>
            <a:cs typeface="Calibri" pitchFamily="34" charset="0"/>
          </a:endParaRPr>
        </a:p>
        <a:p>
          <a:r>
            <a:rPr lang="fr-FR" sz="900" i="0" baseline="0">
              <a:solidFill>
                <a:schemeClr val="bg1">
                  <a:lumMod val="50000"/>
                </a:schemeClr>
              </a:solidFill>
              <a:latin typeface="Calibri" pitchFamily="34" charset="0"/>
              <a:ea typeface="+mn-ea"/>
              <a:cs typeface="Calibri" pitchFamily="34" charset="0"/>
            </a:rPr>
            <a:t>Autres diplômes :</a:t>
          </a:r>
        </a:p>
        <a:p>
          <a:r>
            <a:rPr lang="fr-FR" sz="900" i="0" baseline="0">
              <a:solidFill>
                <a:schemeClr val="bg1">
                  <a:lumMod val="50000"/>
                </a:schemeClr>
              </a:solidFill>
              <a:latin typeface="Calibri" pitchFamily="34" charset="0"/>
              <a:ea typeface="+mn-ea"/>
              <a:cs typeface="Calibri" pitchFamily="34" charset="0"/>
            </a:rPr>
            <a:t>Doctorats - Diplôme de Médecine - Diplômes d'Ingénieur</a:t>
          </a:r>
        </a:p>
        <a:p>
          <a:r>
            <a:rPr lang="fr-FR" sz="900" i="0" baseline="0">
              <a:solidFill>
                <a:schemeClr val="bg1">
                  <a:lumMod val="50000"/>
                </a:schemeClr>
              </a:solidFill>
              <a:latin typeface="Calibri" pitchFamily="34" charset="0"/>
              <a:ea typeface="+mn-ea"/>
              <a:cs typeface="Calibri" pitchFamily="34" charset="0"/>
            </a:rPr>
            <a:t>DAEU, Capacités, DU</a:t>
          </a:r>
        </a:p>
        <a:p>
          <a:endParaRPr lang="fr-FR" sz="900" i="0" baseline="0">
            <a:solidFill>
              <a:schemeClr val="bg1">
                <a:lumMod val="50000"/>
              </a:schemeClr>
            </a:solidFill>
            <a:latin typeface="Calibri" pitchFamily="34" charset="0"/>
            <a:ea typeface="+mn-ea"/>
            <a:cs typeface="Calibri" pitchFamily="34" charset="0"/>
          </a:endParaRPr>
        </a:p>
        <a:p>
          <a:endParaRPr lang="fr-FR" sz="800" i="1" baseline="0">
            <a:solidFill>
              <a:schemeClr val="bg1">
                <a:lumMod val="50000"/>
              </a:schemeClr>
            </a:solidFill>
            <a:latin typeface="Calibri" pitchFamily="34" charset="0"/>
            <a:ea typeface="+mn-ea"/>
            <a:cs typeface="Calibri" pitchFamily="34" charset="0"/>
          </a:endParaRPr>
        </a:p>
        <a:p>
          <a:r>
            <a:rPr lang="fr-FR" sz="800" i="1" baseline="0">
              <a:solidFill>
                <a:schemeClr val="bg1">
                  <a:lumMod val="50000"/>
                </a:schemeClr>
              </a:solidFill>
              <a:latin typeface="Calibri" pitchFamily="34" charset="0"/>
              <a:ea typeface="+mn-ea"/>
              <a:cs typeface="Calibri" pitchFamily="34" charset="0"/>
            </a:rPr>
            <a:t>Source : DFIP - Direction de la Formation et de l'Insertion Professionnelle</a:t>
          </a:r>
        </a:p>
      </xdr:txBody>
    </xdr:sp>
    <xdr:clientData/>
  </xdr:twoCellAnchor>
  <xdr:twoCellAnchor>
    <xdr:from>
      <xdr:col>0</xdr:col>
      <xdr:colOff>105833</xdr:colOff>
      <xdr:row>0</xdr:row>
      <xdr:rowOff>67734</xdr:rowOff>
    </xdr:from>
    <xdr:to>
      <xdr:col>14</xdr:col>
      <xdr:colOff>608134</xdr:colOff>
      <xdr:row>6</xdr:row>
      <xdr:rowOff>146538</xdr:rowOff>
    </xdr:to>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105833" y="67734"/>
          <a:ext cx="10247109" cy="122180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800" b="0" i="0" u="none" strike="noStrike" baseline="0">
              <a:solidFill>
                <a:schemeClr val="dk1"/>
              </a:solidFill>
              <a:latin typeface="Calibri" panose="020F0502020204030204" pitchFamily="34" charset="0"/>
              <a:ea typeface="+mn-ea"/>
              <a:cs typeface="Calibri" panose="020F0502020204030204" pitchFamily="34" charset="0"/>
            </a:rPr>
            <a:t>L’Université Jean Monnet est membre fondateur de l’Université de Lyon. C’est par le Décret du 21 mars 2007, que l’Université de Lyon a vu le jour sous la forme d’un établissement public de coopération scientifique. Par Décret du 5 fevrier 2015, en application de la loi du 22 juillet 2013 relative a l’Enseignement superieur et la Recherche, l’Université de Lyon, est devenue une communauté d’universités et d’établissements (COMUE), groupement conféderal au statut d’établissement public à caractère scientifique, culturel et professionnel. La COMUE Université de Lyon est composée de 12 établissements membres et de 25 établissements associés.</a:t>
          </a:r>
        </a:p>
        <a:p>
          <a:endParaRPr lang="fr-FR" sz="800" b="0" i="0" u="none" strike="noStrike" baseline="0">
            <a:solidFill>
              <a:schemeClr val="dk1"/>
            </a:solidFill>
            <a:latin typeface="Calibri" panose="020F0502020204030204" pitchFamily="34" charset="0"/>
            <a:ea typeface="+mn-ea"/>
            <a:cs typeface="Calibri" panose="020F0502020204030204" pitchFamily="34" charset="0"/>
          </a:endParaRPr>
        </a:p>
        <a:p>
          <a:pPr algn="just"/>
          <a:r>
            <a:rPr lang="fr-FR" sz="800" b="0" i="0" u="none" strike="noStrike" baseline="0">
              <a:solidFill>
                <a:srgbClr val="FF0000"/>
              </a:solidFill>
              <a:latin typeface="Calibri" panose="020F0502020204030204" pitchFamily="34" charset="0"/>
              <a:ea typeface="+mn-ea"/>
              <a:cs typeface="Calibri" panose="020F0502020204030204" pitchFamily="34" charset="0"/>
            </a:rPr>
            <a:t>L’Université de Lyon, site academique d'excellence a vocation mondiale, labellisée IDEX en 2017, compte 98 000 étudiants, 5 000 chercheurs et enseignants-chercheurs, 77 laboratoires publics, et propose des formations de qualité organisés en 8 pôles de formation et recherche : Biosciences et sciences pharmaceutiques, Droit, Education et sport, Ingénierie, Management et sciences acturielles, Santé humaine, Sciences et Humanités et Sciences, technologie et société.</a:t>
          </a:r>
        </a:p>
        <a:p>
          <a:r>
            <a:rPr lang="fr-FR" sz="800" b="0" i="1" u="none" strike="noStrike" baseline="0">
              <a:solidFill>
                <a:srgbClr val="FF0000"/>
              </a:solidFill>
              <a:latin typeface="Calibri" panose="020F0502020204030204" pitchFamily="34" charset="0"/>
              <a:ea typeface="+mn-ea"/>
              <a:cs typeface="Calibri" panose="020F0502020204030204" pitchFamily="34" charset="0"/>
            </a:rPr>
            <a:t>Données réactualisées au titre de l'année 2020</a:t>
          </a:r>
          <a:br>
            <a:rPr lang="fr-FR" sz="1100">
              <a:solidFill>
                <a:schemeClr val="dk1"/>
              </a:solidFill>
              <a:effectLst/>
              <a:latin typeface="+mn-lt"/>
              <a:ea typeface="+mn-ea"/>
              <a:cs typeface="+mn-cs"/>
            </a:rPr>
          </a:br>
          <a:endParaRPr lang="fr-FR" sz="800">
            <a:effectLst/>
          </a:endParaRPr>
        </a:p>
        <a:p>
          <a:endParaRPr lang="fr-FR" sz="800">
            <a:solidFill>
              <a:schemeClr val="bg1">
                <a:lumMod val="50000"/>
              </a:schemeClr>
            </a:solidFill>
            <a:latin typeface="Calibri" pitchFamily="34" charset="0"/>
            <a:ea typeface="+mn-ea"/>
            <a:cs typeface="Calibri" pitchFamily="34" charset="0"/>
          </a:endParaRPr>
        </a:p>
      </xdr:txBody>
    </xdr:sp>
    <xdr:clientData/>
  </xdr:twoCellAnchor>
  <xdr:twoCellAnchor>
    <xdr:from>
      <xdr:col>8</xdr:col>
      <xdr:colOff>224897</xdr:colOff>
      <xdr:row>22</xdr:row>
      <xdr:rowOff>111125</xdr:rowOff>
    </xdr:from>
    <xdr:to>
      <xdr:col>13</xdr:col>
      <xdr:colOff>223309</xdr:colOff>
      <xdr:row>39</xdr:row>
      <xdr:rowOff>84665</xdr:rowOff>
    </xdr:to>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5749397" y="4302125"/>
          <a:ext cx="3451225" cy="321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bg1">
                  <a:lumMod val="50000"/>
                </a:schemeClr>
              </a:solidFill>
              <a:effectLst/>
              <a:latin typeface="Calibri" pitchFamily="34" charset="0"/>
              <a:ea typeface="+mn-ea"/>
              <a:cs typeface="Calibri" pitchFamily="34" charset="0"/>
            </a:rPr>
            <a:t>Les locaux</a:t>
          </a:r>
        </a:p>
        <a:p>
          <a:endParaRPr lang="fr-FR" sz="1100">
            <a:solidFill>
              <a:schemeClr val="bg1">
                <a:lumMod val="50000"/>
              </a:schemeClr>
            </a:solidFill>
          </a:endParaRPr>
        </a:p>
        <a:p>
          <a:r>
            <a:rPr lang="fr-FR" sz="1800">
              <a:solidFill>
                <a:srgbClr val="FF0000"/>
              </a:solidFill>
              <a:latin typeface="Calibri" pitchFamily="34" charset="0"/>
              <a:ea typeface="+mn-ea"/>
              <a:cs typeface="Calibri" pitchFamily="34" charset="0"/>
            </a:rPr>
            <a:t>140</a:t>
          </a:r>
          <a:r>
            <a:rPr lang="fr-FR" sz="1800" baseline="0">
              <a:solidFill>
                <a:srgbClr val="FF0000"/>
              </a:solidFill>
              <a:latin typeface="Calibri" pitchFamily="34" charset="0"/>
              <a:ea typeface="+mn-ea"/>
              <a:cs typeface="Calibri" pitchFamily="34" charset="0"/>
            </a:rPr>
            <a:t> 097 </a:t>
          </a:r>
          <a:r>
            <a:rPr lang="fr-FR" sz="900" i="0" baseline="0">
              <a:solidFill>
                <a:schemeClr val="bg1">
                  <a:lumMod val="50000"/>
                </a:schemeClr>
              </a:solidFill>
              <a:latin typeface="Calibri" pitchFamily="34" charset="0"/>
              <a:ea typeface="+mn-ea"/>
              <a:cs typeface="Calibri" pitchFamily="34" charset="0"/>
            </a:rPr>
            <a:t>m2 de surface totale de plancher (SDP)</a:t>
          </a:r>
        </a:p>
        <a:p>
          <a:endParaRPr lang="fr-FR" sz="1100">
            <a:solidFill>
              <a:schemeClr val="bg1">
                <a:lumMod val="50000"/>
              </a:schemeClr>
            </a:solidFill>
          </a:endParaRPr>
        </a:p>
        <a:p>
          <a:r>
            <a:rPr lang="fr-FR" sz="1800">
              <a:solidFill>
                <a:srgbClr val="FF0000"/>
              </a:solidFill>
              <a:latin typeface="Calibri" pitchFamily="34" charset="0"/>
              <a:ea typeface="+mn-ea"/>
              <a:cs typeface="Calibri" pitchFamily="34" charset="0"/>
            </a:rPr>
            <a:t>20 742 </a:t>
          </a:r>
          <a:r>
            <a:rPr lang="fr-FR" sz="900" i="0" baseline="0">
              <a:solidFill>
                <a:schemeClr val="bg1">
                  <a:lumMod val="50000"/>
                </a:schemeClr>
              </a:solidFill>
              <a:latin typeface="Calibri" pitchFamily="34" charset="0"/>
              <a:ea typeface="+mn-ea"/>
              <a:cs typeface="Calibri" pitchFamily="34" charset="0"/>
            </a:rPr>
            <a:t>m2 de surface recherche</a:t>
          </a:r>
        </a:p>
        <a:p>
          <a:endParaRPr lang="fr-FR" sz="1100">
            <a:solidFill>
              <a:schemeClr val="bg1">
                <a:lumMod val="50000"/>
              </a:schemeClr>
            </a:solidFill>
          </a:endParaRPr>
        </a:p>
        <a:p>
          <a:r>
            <a:rPr lang="fr-FR" sz="1800">
              <a:solidFill>
                <a:schemeClr val="bg1">
                  <a:lumMod val="50000"/>
                </a:schemeClr>
              </a:solidFill>
              <a:latin typeface="Calibri" pitchFamily="34" charset="0"/>
              <a:ea typeface="+mn-ea"/>
              <a:cs typeface="Calibri" pitchFamily="34" charset="0"/>
            </a:rPr>
            <a:t>2</a:t>
          </a:r>
          <a:r>
            <a:rPr lang="fr-FR" sz="1100">
              <a:solidFill>
                <a:schemeClr val="bg1">
                  <a:lumMod val="50000"/>
                </a:schemeClr>
              </a:solidFill>
            </a:rPr>
            <a:t> </a:t>
          </a:r>
          <a:r>
            <a:rPr lang="fr-FR" sz="900" i="0" baseline="0">
              <a:solidFill>
                <a:schemeClr val="bg1">
                  <a:lumMod val="50000"/>
                </a:schemeClr>
              </a:solidFill>
              <a:latin typeface="Calibri" pitchFamily="34" charset="0"/>
              <a:ea typeface="+mn-ea"/>
              <a:cs typeface="Calibri" pitchFamily="34" charset="0"/>
            </a:rPr>
            <a:t>implantations : St-Etienne et Roanne</a:t>
          </a:r>
        </a:p>
        <a:p>
          <a:pPr marL="0" indent="0"/>
          <a:r>
            <a:rPr lang="fr-FR" sz="1800">
              <a:solidFill>
                <a:schemeClr val="bg1">
                  <a:lumMod val="50000"/>
                </a:schemeClr>
              </a:solidFill>
              <a:latin typeface="Calibri" pitchFamily="34" charset="0"/>
              <a:ea typeface="+mn-ea"/>
              <a:cs typeface="Calibri" pitchFamily="34" charset="0"/>
            </a:rPr>
            <a:t>5</a:t>
          </a:r>
          <a:r>
            <a:rPr lang="fr-FR" sz="1100">
              <a:solidFill>
                <a:schemeClr val="bg1">
                  <a:lumMod val="50000"/>
                </a:schemeClr>
              </a:solidFill>
            </a:rPr>
            <a:t> </a:t>
          </a:r>
          <a:r>
            <a:rPr lang="fr-FR" sz="900" i="0" baseline="0">
              <a:solidFill>
                <a:schemeClr val="bg1">
                  <a:lumMod val="50000"/>
                </a:schemeClr>
              </a:solidFill>
              <a:latin typeface="Calibri" pitchFamily="34" charset="0"/>
              <a:ea typeface="+mn-ea"/>
              <a:cs typeface="Calibri" pitchFamily="34" charset="0"/>
            </a:rPr>
            <a:t>Campus  : </a:t>
          </a:r>
        </a:p>
        <a:p>
          <a:pPr marL="0" indent="0"/>
          <a:r>
            <a:rPr lang="fr-FR" sz="900" i="0" baseline="0">
              <a:solidFill>
                <a:schemeClr val="bg1">
                  <a:lumMod val="50000"/>
                </a:schemeClr>
              </a:solidFill>
              <a:latin typeface="Calibri" pitchFamily="34" charset="0"/>
              <a:ea typeface="+mn-ea"/>
              <a:cs typeface="Calibri" pitchFamily="34" charset="0"/>
            </a:rPr>
            <a:t>- Campus Tréfilerie</a:t>
          </a:r>
        </a:p>
        <a:p>
          <a:pPr marL="0" indent="0"/>
          <a:r>
            <a:rPr lang="fr-FR" sz="900" i="0" baseline="0">
              <a:solidFill>
                <a:schemeClr val="bg1">
                  <a:lumMod val="50000"/>
                </a:schemeClr>
              </a:solidFill>
              <a:latin typeface="Calibri" pitchFamily="34" charset="0"/>
              <a:ea typeface="+mn-ea"/>
              <a:cs typeface="Calibri" pitchFamily="34" charset="0"/>
            </a:rPr>
            <a:t>- Campus Santé Innovations</a:t>
          </a:r>
        </a:p>
        <a:p>
          <a:pPr marL="0" indent="0"/>
          <a:r>
            <a:rPr lang="fr-FR" sz="900" i="0" baseline="0">
              <a:solidFill>
                <a:schemeClr val="bg1">
                  <a:lumMod val="50000"/>
                </a:schemeClr>
              </a:solidFill>
              <a:latin typeface="Calibri" pitchFamily="34" charset="0"/>
              <a:ea typeface="+mn-ea"/>
              <a:cs typeface="Calibri" pitchFamily="34" charset="0"/>
            </a:rPr>
            <a:t>- Campus Métare</a:t>
          </a:r>
        </a:p>
        <a:p>
          <a:pPr marL="0" indent="0"/>
          <a:r>
            <a:rPr lang="fr-FR" sz="900" i="0" baseline="0">
              <a:solidFill>
                <a:schemeClr val="bg1">
                  <a:lumMod val="50000"/>
                </a:schemeClr>
              </a:solidFill>
              <a:latin typeface="Calibri" pitchFamily="34" charset="0"/>
              <a:ea typeface="+mn-ea"/>
              <a:cs typeface="Calibri" pitchFamily="34" charset="0"/>
            </a:rPr>
            <a:t>- Campus Manufacture</a:t>
          </a:r>
        </a:p>
        <a:p>
          <a:pPr marL="0" indent="0"/>
          <a:r>
            <a:rPr lang="fr-FR" sz="900" i="0" baseline="0">
              <a:solidFill>
                <a:schemeClr val="bg1">
                  <a:lumMod val="50000"/>
                </a:schemeClr>
              </a:solidFill>
              <a:latin typeface="Calibri" pitchFamily="34" charset="0"/>
              <a:ea typeface="+mn-ea"/>
              <a:cs typeface="Calibri" pitchFamily="34" charset="0"/>
            </a:rPr>
            <a:t>- Campus de Roanne</a:t>
          </a:r>
        </a:p>
        <a:p>
          <a:pPr marL="0" indent="0"/>
          <a:endParaRPr lang="fr-FR" sz="900" i="0" baseline="0">
            <a:solidFill>
              <a:schemeClr val="bg1">
                <a:lumMod val="50000"/>
              </a:schemeClr>
            </a:solidFill>
            <a:latin typeface="Calibri" pitchFamily="34" charset="0"/>
            <a:ea typeface="+mn-ea"/>
            <a:cs typeface="Calibri" pitchFamily="34" charset="0"/>
          </a:endParaRPr>
        </a:p>
        <a:p>
          <a:pPr marL="0" indent="0"/>
          <a:r>
            <a:rPr lang="fr-FR" sz="900" i="0" baseline="0">
              <a:solidFill>
                <a:schemeClr val="bg1">
                  <a:lumMod val="50000"/>
                </a:schemeClr>
              </a:solidFill>
              <a:latin typeface="Calibri" pitchFamily="34" charset="0"/>
              <a:ea typeface="+mn-ea"/>
              <a:cs typeface="Calibri" pitchFamily="34" charset="0"/>
            </a:rPr>
            <a:t>1 Campus Patrimoine Le Corbusier</a:t>
          </a:r>
        </a:p>
        <a:p>
          <a:pPr marL="0" indent="0"/>
          <a:endParaRPr lang="fr-FR" sz="900" i="0" baseline="0">
            <a:solidFill>
              <a:schemeClr val="bg1">
                <a:lumMod val="50000"/>
              </a:schemeClr>
            </a:solidFill>
            <a:latin typeface="Calibri" pitchFamily="34" charset="0"/>
            <a:ea typeface="+mn-ea"/>
            <a:cs typeface="Calibri" pitchFamily="34" charset="0"/>
          </a:endParaRPr>
        </a:p>
        <a:p>
          <a:pPr marL="0" indent="0"/>
          <a:r>
            <a:rPr lang="fr-FR" sz="800" i="1" baseline="0">
              <a:solidFill>
                <a:schemeClr val="bg1">
                  <a:lumMod val="50000"/>
                </a:schemeClr>
              </a:solidFill>
              <a:latin typeface="Calibri" pitchFamily="34" charset="0"/>
              <a:ea typeface="+mn-ea"/>
              <a:cs typeface="Calibri" pitchFamily="34" charset="0"/>
            </a:rPr>
            <a:t>Source : Direction du Patrimoine</a:t>
          </a:r>
        </a:p>
      </xdr:txBody>
    </xdr:sp>
    <xdr:clientData/>
  </xdr:twoCellAnchor>
  <xdr:twoCellAnchor>
    <xdr:from>
      <xdr:col>8</xdr:col>
      <xdr:colOff>201084</xdr:colOff>
      <xdr:row>40</xdr:row>
      <xdr:rowOff>84667</xdr:rowOff>
    </xdr:from>
    <xdr:to>
      <xdr:col>13</xdr:col>
      <xdr:colOff>201401</xdr:colOff>
      <xdr:row>52</xdr:row>
      <xdr:rowOff>31748</xdr:rowOff>
    </xdr:to>
    <xdr:sp macro="" textlink="">
      <xdr:nvSpPr>
        <xdr:cNvPr id="10" name="ZoneTexte 9">
          <a:extLst>
            <a:ext uri="{FF2B5EF4-FFF2-40B4-BE49-F238E27FC236}">
              <a16:creationId xmlns:a16="http://schemas.microsoft.com/office/drawing/2014/main" id="{00000000-0008-0000-0200-00000A000000}"/>
            </a:ext>
          </a:extLst>
        </xdr:cNvPr>
        <xdr:cNvSpPr txBox="1"/>
      </xdr:nvSpPr>
      <xdr:spPr>
        <a:xfrm>
          <a:off x="5725584" y="7704667"/>
          <a:ext cx="3453130" cy="22330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400">
              <a:solidFill>
                <a:schemeClr val="bg1">
                  <a:lumMod val="50000"/>
                </a:schemeClr>
              </a:solidFill>
              <a:effectLst/>
              <a:latin typeface="Calibri" pitchFamily="34" charset="0"/>
              <a:ea typeface="+mn-ea"/>
              <a:cs typeface="Calibri" pitchFamily="34" charset="0"/>
            </a:rPr>
            <a:t>Moyens financiers</a:t>
          </a:r>
        </a:p>
        <a:p>
          <a:endParaRPr lang="fr-FR" sz="900" i="0" baseline="0">
            <a:solidFill>
              <a:schemeClr val="bg1">
                <a:lumMod val="50000"/>
              </a:schemeClr>
            </a:solidFill>
            <a:latin typeface="Calibri" pitchFamily="34" charset="0"/>
            <a:ea typeface="+mn-ea"/>
            <a:cs typeface="Calibri" pitchFamily="34" charset="0"/>
          </a:endParaRPr>
        </a:p>
        <a:p>
          <a:pPr marL="0" indent="0"/>
          <a:r>
            <a:rPr lang="fr-FR" sz="1000" b="1" i="0" baseline="0">
              <a:solidFill>
                <a:schemeClr val="bg1">
                  <a:lumMod val="50000"/>
                </a:schemeClr>
              </a:solidFill>
              <a:latin typeface="Calibri" pitchFamily="34" charset="0"/>
              <a:ea typeface="+mn-ea"/>
              <a:cs typeface="Calibri" pitchFamily="34" charset="0"/>
            </a:rPr>
            <a:t>Compte financier 2019 (Autorisation d'engagement)</a:t>
          </a:r>
        </a:p>
        <a:p>
          <a:pPr marL="0" indent="0"/>
          <a:endParaRPr lang="fr-FR" sz="800" i="1">
            <a:solidFill>
              <a:schemeClr val="bg1">
                <a:lumMod val="50000"/>
              </a:schemeClr>
            </a:solidFill>
            <a:latin typeface="Calibri" pitchFamily="34" charset="0"/>
            <a:ea typeface="+mn-ea"/>
            <a:cs typeface="Calibri" pitchFamily="34" charset="0"/>
          </a:endParaRPr>
        </a:p>
        <a:p>
          <a:pPr marL="0" indent="0"/>
          <a:r>
            <a:rPr lang="fr-FR" sz="900" i="0" baseline="0">
              <a:solidFill>
                <a:schemeClr val="bg1">
                  <a:lumMod val="50000"/>
                </a:schemeClr>
              </a:solidFill>
              <a:latin typeface="Calibri" pitchFamily="34" charset="0"/>
              <a:ea typeface="+mn-ea"/>
              <a:cs typeface="Calibri" pitchFamily="34" charset="0"/>
            </a:rPr>
            <a:t>Dépenses </a:t>
          </a:r>
          <a:r>
            <a:rPr lang="fr-FR" sz="900" i="0" baseline="0">
              <a:solidFill>
                <a:srgbClr val="FF0000"/>
              </a:solidFill>
              <a:latin typeface="Calibri" pitchFamily="34" charset="0"/>
              <a:ea typeface="+mn-ea"/>
              <a:cs typeface="Calibri" pitchFamily="34" charset="0"/>
            </a:rPr>
            <a:t>: </a:t>
          </a:r>
          <a:r>
            <a:rPr lang="fr-FR" sz="1800">
              <a:solidFill>
                <a:srgbClr val="FF0000"/>
              </a:solidFill>
              <a:latin typeface="Calibri" pitchFamily="34" charset="0"/>
              <a:ea typeface="+mn-ea"/>
              <a:cs typeface="Calibri" pitchFamily="34" charset="0"/>
            </a:rPr>
            <a:t>134 364 </a:t>
          </a:r>
          <a:r>
            <a:rPr lang="fr-FR" sz="1800">
              <a:solidFill>
                <a:schemeClr val="bg1">
                  <a:lumMod val="50000"/>
                </a:schemeClr>
              </a:solidFill>
              <a:latin typeface="Calibri" pitchFamily="34" charset="0"/>
              <a:ea typeface="+mn-ea"/>
              <a:cs typeface="Calibri" pitchFamily="34" charset="0"/>
            </a:rPr>
            <a:t>K€ </a:t>
          </a:r>
        </a:p>
        <a:p>
          <a:r>
            <a:rPr lang="fr-FR" sz="1100" i="0" baseline="0">
              <a:solidFill>
                <a:schemeClr val="bg1">
                  <a:lumMod val="50000"/>
                </a:schemeClr>
              </a:solidFill>
              <a:effectLst/>
              <a:latin typeface="+mn-lt"/>
              <a:ea typeface="+mn-ea"/>
              <a:cs typeface="+mn-cs"/>
            </a:rPr>
            <a:t>	</a:t>
          </a:r>
          <a:r>
            <a:rPr lang="fr-FR" sz="900" i="0" baseline="0">
              <a:solidFill>
                <a:schemeClr val="bg1">
                  <a:lumMod val="50000"/>
                </a:schemeClr>
              </a:solidFill>
              <a:latin typeface="Calibri" pitchFamily="34" charset="0"/>
              <a:ea typeface="+mn-ea"/>
              <a:cs typeface="Calibri" pitchFamily="34" charset="0"/>
            </a:rPr>
            <a:t>dont masse salariale : </a:t>
          </a:r>
          <a:r>
            <a:rPr lang="fr-FR" sz="1800">
              <a:solidFill>
                <a:srgbClr val="FF0000"/>
              </a:solidFill>
              <a:latin typeface="Calibri" pitchFamily="34" charset="0"/>
              <a:ea typeface="+mn-ea"/>
              <a:cs typeface="Calibri" pitchFamily="34" charset="0"/>
            </a:rPr>
            <a:t>106 584 </a:t>
          </a:r>
          <a:r>
            <a:rPr lang="fr-FR" sz="1800">
              <a:solidFill>
                <a:schemeClr val="bg1">
                  <a:lumMod val="50000"/>
                </a:schemeClr>
              </a:solidFill>
              <a:latin typeface="Calibri" pitchFamily="34" charset="0"/>
              <a:ea typeface="+mn-ea"/>
              <a:cs typeface="Calibri" pitchFamily="34" charset="0"/>
            </a:rPr>
            <a:t>K€</a:t>
          </a:r>
        </a:p>
        <a:p>
          <a:pPr marL="0" indent="0"/>
          <a:r>
            <a:rPr lang="fr-FR" sz="1100" i="0" baseline="0">
              <a:solidFill>
                <a:schemeClr val="bg1">
                  <a:lumMod val="50000"/>
                </a:schemeClr>
              </a:solidFill>
              <a:effectLst/>
              <a:latin typeface="+mn-lt"/>
              <a:ea typeface="+mn-ea"/>
              <a:cs typeface="+mn-cs"/>
            </a:rPr>
            <a:t>	</a:t>
          </a:r>
          <a:r>
            <a:rPr lang="fr-FR" sz="900" i="0" baseline="0">
              <a:solidFill>
                <a:schemeClr val="bg1">
                  <a:lumMod val="50000"/>
                </a:schemeClr>
              </a:solidFill>
              <a:latin typeface="Calibri" pitchFamily="34" charset="0"/>
              <a:ea typeface="+mn-ea"/>
              <a:cs typeface="Calibri" pitchFamily="34" charset="0"/>
            </a:rPr>
            <a:t>dont investissement </a:t>
          </a:r>
          <a:r>
            <a:rPr lang="fr-FR" sz="900">
              <a:solidFill>
                <a:schemeClr val="bg1">
                  <a:lumMod val="50000"/>
                </a:schemeClr>
              </a:solidFill>
              <a:latin typeface="Calibri" pitchFamily="34" charset="0"/>
              <a:ea typeface="+mn-ea"/>
              <a:cs typeface="Calibri" pitchFamily="34" charset="0"/>
            </a:rPr>
            <a:t>:</a:t>
          </a:r>
          <a:r>
            <a:rPr lang="fr-FR" sz="1800">
              <a:solidFill>
                <a:schemeClr val="bg1">
                  <a:lumMod val="50000"/>
                </a:schemeClr>
              </a:solidFill>
              <a:latin typeface="Calibri" pitchFamily="34" charset="0"/>
              <a:ea typeface="+mn-ea"/>
              <a:cs typeface="Calibri" pitchFamily="34" charset="0"/>
            </a:rPr>
            <a:t>     </a:t>
          </a:r>
          <a:r>
            <a:rPr lang="fr-FR" sz="1800">
              <a:solidFill>
                <a:srgbClr val="FF0000"/>
              </a:solidFill>
              <a:latin typeface="Calibri" pitchFamily="34" charset="0"/>
              <a:ea typeface="+mn-ea"/>
              <a:cs typeface="Calibri" pitchFamily="34" charset="0"/>
            </a:rPr>
            <a:t>9 577 </a:t>
          </a:r>
          <a:r>
            <a:rPr lang="fr-FR" sz="1800">
              <a:solidFill>
                <a:schemeClr val="bg1">
                  <a:lumMod val="50000"/>
                </a:schemeClr>
              </a:solidFill>
              <a:latin typeface="Calibri" pitchFamily="34" charset="0"/>
              <a:ea typeface="+mn-ea"/>
              <a:cs typeface="Calibri" pitchFamily="34" charset="0"/>
            </a:rPr>
            <a:t>K€</a:t>
          </a:r>
        </a:p>
        <a:p>
          <a:pPr marL="0" indent="0"/>
          <a:r>
            <a:rPr lang="fr-FR" sz="900" i="0" baseline="0">
              <a:solidFill>
                <a:schemeClr val="bg1">
                  <a:lumMod val="50000"/>
                </a:schemeClr>
              </a:solidFill>
              <a:latin typeface="Calibri" pitchFamily="34" charset="0"/>
              <a:ea typeface="+mn-ea"/>
              <a:cs typeface="Calibri" pitchFamily="34" charset="0"/>
            </a:rPr>
            <a:t>	dont fonctionnement : </a:t>
          </a:r>
          <a:r>
            <a:rPr lang="fr-FR" sz="1800" i="0" baseline="0">
              <a:solidFill>
                <a:schemeClr val="bg1">
                  <a:lumMod val="50000"/>
                </a:schemeClr>
              </a:solidFill>
              <a:latin typeface="Calibri" pitchFamily="34" charset="0"/>
              <a:ea typeface="+mn-ea"/>
              <a:cs typeface="Calibri" pitchFamily="34" charset="0"/>
            </a:rPr>
            <a:t> </a:t>
          </a:r>
          <a:r>
            <a:rPr lang="fr-FR" sz="1800">
              <a:solidFill>
                <a:srgbClr val="FF0000"/>
              </a:solidFill>
              <a:latin typeface="Calibri" pitchFamily="34" charset="0"/>
              <a:ea typeface="+mn-ea"/>
              <a:cs typeface="Calibri" pitchFamily="34" charset="0"/>
            </a:rPr>
            <a:t>18 203 </a:t>
          </a:r>
          <a:r>
            <a:rPr lang="fr-FR" sz="1800">
              <a:solidFill>
                <a:schemeClr val="bg1">
                  <a:lumMod val="50000"/>
                </a:schemeClr>
              </a:solidFill>
              <a:latin typeface="Calibri" pitchFamily="34" charset="0"/>
              <a:ea typeface="+mn-ea"/>
              <a:cs typeface="Calibri" pitchFamily="34" charset="0"/>
            </a:rPr>
            <a:t>K€</a:t>
          </a:r>
        </a:p>
        <a:p>
          <a:pPr marL="0" indent="0"/>
          <a:endParaRPr lang="fr-FR" sz="800" i="1">
            <a:solidFill>
              <a:schemeClr val="bg1">
                <a:lumMod val="50000"/>
              </a:schemeClr>
            </a:solidFill>
            <a:latin typeface="Calibri" pitchFamily="34" charset="0"/>
            <a:ea typeface="+mn-ea"/>
            <a:cs typeface="Calibri" pitchFamily="34" charset="0"/>
          </a:endParaRPr>
        </a:p>
        <a:p>
          <a:pPr marL="0" indent="0"/>
          <a:r>
            <a:rPr lang="fr-FR" sz="800" i="1">
              <a:solidFill>
                <a:schemeClr val="bg1">
                  <a:lumMod val="50000"/>
                </a:schemeClr>
              </a:solidFill>
              <a:latin typeface="Calibri" pitchFamily="34" charset="0"/>
              <a:ea typeface="+mn-ea"/>
              <a:cs typeface="Calibri" pitchFamily="34" charset="0"/>
            </a:rPr>
            <a:t>Source : DSF - Direction des Services Financiers</a:t>
          </a:r>
        </a:p>
      </xdr:txBody>
    </xdr:sp>
    <xdr:clientData/>
  </xdr:twoCellAnchor>
  <xdr:twoCellAnchor>
    <xdr:from>
      <xdr:col>13</xdr:col>
      <xdr:colOff>371476</xdr:colOff>
      <xdr:row>24</xdr:row>
      <xdr:rowOff>47624</xdr:rowOff>
    </xdr:from>
    <xdr:to>
      <xdr:col>15</xdr:col>
      <xdr:colOff>466726</xdr:colOff>
      <xdr:row>28</xdr:row>
      <xdr:rowOff>95250</xdr:rowOff>
    </xdr:to>
    <xdr:sp macro="" textlink="">
      <xdr:nvSpPr>
        <xdr:cNvPr id="6" name="ZoneTexte 5">
          <a:extLst>
            <a:ext uri="{FF2B5EF4-FFF2-40B4-BE49-F238E27FC236}">
              <a16:creationId xmlns:a16="http://schemas.microsoft.com/office/drawing/2014/main" id="{95AF0C6D-5197-4059-943E-9853D9E3DCAC}"/>
            </a:ext>
          </a:extLst>
        </xdr:cNvPr>
        <xdr:cNvSpPr txBox="1"/>
      </xdr:nvSpPr>
      <xdr:spPr>
        <a:xfrm>
          <a:off x="9039226" y="4619624"/>
          <a:ext cx="1428750" cy="809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i="0" baseline="0">
              <a:solidFill>
                <a:srgbClr val="FF0000"/>
              </a:solidFill>
              <a:latin typeface="Calibri" pitchFamily="34" charset="0"/>
              <a:ea typeface="+mn-ea"/>
              <a:cs typeface="Calibri" pitchFamily="34" charset="0"/>
            </a:rPr>
            <a:t>l'augmentation de la surface provient de l'occupation des 5</a:t>
          </a:r>
          <a:r>
            <a:rPr lang="fr-FR" sz="900" i="0" baseline="30000">
              <a:solidFill>
                <a:srgbClr val="FF0000"/>
              </a:solidFill>
              <a:latin typeface="Calibri" pitchFamily="34" charset="0"/>
              <a:ea typeface="+mn-ea"/>
              <a:cs typeface="Calibri" pitchFamily="34" charset="0"/>
            </a:rPr>
            <a:t>ième</a:t>
          </a:r>
          <a:r>
            <a:rPr lang="fr-FR" sz="900" i="0" baseline="0">
              <a:solidFill>
                <a:srgbClr val="FF0000"/>
              </a:solidFill>
              <a:latin typeface="Calibri" pitchFamily="34" charset="0"/>
              <a:ea typeface="+mn-ea"/>
              <a:cs typeface="Calibri" pitchFamily="34" charset="0"/>
            </a:rPr>
            <a:t> et 6</a:t>
          </a:r>
          <a:r>
            <a:rPr lang="fr-FR" sz="900" i="0" baseline="30000">
              <a:solidFill>
                <a:srgbClr val="FF0000"/>
              </a:solidFill>
              <a:latin typeface="Calibri" pitchFamily="34" charset="0"/>
              <a:ea typeface="+mn-ea"/>
              <a:cs typeface="Calibri" pitchFamily="34" charset="0"/>
            </a:rPr>
            <a:t>ième</a:t>
          </a:r>
          <a:r>
            <a:rPr lang="fr-FR" sz="900" i="0" baseline="0">
              <a:solidFill>
                <a:srgbClr val="FF0000"/>
              </a:solidFill>
              <a:latin typeface="Calibri" pitchFamily="34" charset="0"/>
              <a:ea typeface="+mn-ea"/>
              <a:cs typeface="Calibri" pitchFamily="34" charset="0"/>
            </a:rPr>
            <a:t> étages du site Michelet</a:t>
          </a:r>
        </a:p>
      </xdr:txBody>
    </xdr:sp>
    <xdr:clientData/>
  </xdr:twoCellAnchor>
  <xdr:twoCellAnchor>
    <xdr:from>
      <xdr:col>13</xdr:col>
      <xdr:colOff>390525</xdr:colOff>
      <xdr:row>15</xdr:row>
      <xdr:rowOff>95250</xdr:rowOff>
    </xdr:from>
    <xdr:to>
      <xdr:col>15</xdr:col>
      <xdr:colOff>533400</xdr:colOff>
      <xdr:row>20</xdr:row>
      <xdr:rowOff>95250</xdr:rowOff>
    </xdr:to>
    <xdr:sp macro="" textlink="">
      <xdr:nvSpPr>
        <xdr:cNvPr id="11" name="ZoneTexte 10">
          <a:extLst>
            <a:ext uri="{FF2B5EF4-FFF2-40B4-BE49-F238E27FC236}">
              <a16:creationId xmlns:a16="http://schemas.microsoft.com/office/drawing/2014/main" id="{048B966C-91F3-4248-9E57-A2E93717A50B}"/>
            </a:ext>
          </a:extLst>
        </xdr:cNvPr>
        <xdr:cNvSpPr txBox="1"/>
      </xdr:nvSpPr>
      <xdr:spPr>
        <a:xfrm>
          <a:off x="9058275" y="2952750"/>
          <a:ext cx="14763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i="0" baseline="0">
              <a:solidFill>
                <a:srgbClr val="FF0000"/>
              </a:solidFill>
              <a:latin typeface="Calibri" pitchFamily="34" charset="0"/>
              <a:ea typeface="+mn-ea"/>
              <a:cs typeface="Calibri" pitchFamily="34" charset="0"/>
            </a:rPr>
            <a:t>Grosse augmentation grace  au programme PIA 3 portant sur la création de l'Ecole Universitaire de Recherche - Manutech Sleight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361950</xdr:colOff>
      <xdr:row>2</xdr:row>
      <xdr:rowOff>97153</xdr:rowOff>
    </xdr:from>
    <xdr:to>
      <xdr:col>17</xdr:col>
      <xdr:colOff>104775</xdr:colOff>
      <xdr:row>12</xdr:row>
      <xdr:rowOff>142875</xdr:rowOff>
    </xdr:to>
    <xdr:sp macro="" textlink="">
      <xdr:nvSpPr>
        <xdr:cNvPr id="2" name="ZoneTexte 1">
          <a:extLst>
            <a:ext uri="{FF2B5EF4-FFF2-40B4-BE49-F238E27FC236}">
              <a16:creationId xmlns:a16="http://schemas.microsoft.com/office/drawing/2014/main" id="{00000000-0008-0000-0C00-000002000000}"/>
            </a:ext>
          </a:extLst>
        </xdr:cNvPr>
        <xdr:cNvSpPr txBox="1"/>
      </xdr:nvSpPr>
      <xdr:spPr>
        <a:xfrm>
          <a:off x="6953250" y="421003"/>
          <a:ext cx="3638550" cy="1722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fr-FR" sz="4000" b="0">
              <a:solidFill>
                <a:srgbClr val="00B050"/>
              </a:solidFill>
              <a:latin typeface="Calibri" pitchFamily="34" charset="0"/>
            </a:rPr>
            <a:t>66%	</a:t>
          </a:r>
          <a:r>
            <a:rPr lang="fr-FR" sz="4000" b="0">
              <a:solidFill>
                <a:schemeClr val="bg1">
                  <a:lumMod val="50000"/>
                </a:schemeClr>
              </a:solidFill>
              <a:latin typeface="Calibri" pitchFamily="34" charset="0"/>
            </a:rPr>
            <a:t>	</a:t>
          </a:r>
          <a:r>
            <a:rPr lang="fr-FR" sz="4000" b="0">
              <a:solidFill>
                <a:srgbClr val="00B050"/>
              </a:solidFill>
              <a:latin typeface="Calibri" pitchFamily="34" charset="0"/>
              <a:ea typeface="+mn-ea"/>
              <a:cs typeface="+mn-cs"/>
            </a:rPr>
            <a:t>34%</a:t>
          </a:r>
        </a:p>
        <a:p>
          <a:pPr marL="0" marR="0" indent="0" algn="l" defTabSz="914400" eaLnBrk="1" fontAlgn="auto" latinLnBrk="0" hangingPunct="1">
            <a:lnSpc>
              <a:spcPct val="100000"/>
            </a:lnSpc>
            <a:spcBef>
              <a:spcPts val="0"/>
            </a:spcBef>
            <a:spcAft>
              <a:spcPts val="0"/>
            </a:spcAft>
            <a:buClrTx/>
            <a:buSzTx/>
            <a:buFontTx/>
            <a:buNone/>
            <a:tabLst/>
            <a:defRPr/>
          </a:pPr>
          <a:r>
            <a:rPr lang="fr-FR" sz="1100" b="0">
              <a:solidFill>
                <a:schemeClr val="bg1">
                  <a:lumMod val="50000"/>
                </a:schemeClr>
              </a:solidFill>
              <a:latin typeface="Calibri" pitchFamily="34" charset="0"/>
            </a:rPr>
            <a:t>de personnels titulaires	</a:t>
          </a:r>
          <a:r>
            <a:rPr lang="fr-FR" sz="1100" b="0">
              <a:solidFill>
                <a:schemeClr val="bg1">
                  <a:lumMod val="50000"/>
                </a:schemeClr>
              </a:solidFill>
              <a:latin typeface="Calibri" pitchFamily="34" charset="0"/>
              <a:ea typeface="+mn-ea"/>
              <a:cs typeface="+mn-cs"/>
            </a:rPr>
            <a:t>de personnels contractuels</a:t>
          </a:r>
        </a:p>
        <a:p>
          <a:pPr marL="0" marR="0" indent="0" algn="l" defTabSz="914400" eaLnBrk="1" fontAlgn="auto" latinLnBrk="0" hangingPunct="1">
            <a:lnSpc>
              <a:spcPct val="100000"/>
            </a:lnSpc>
            <a:spcBef>
              <a:spcPts val="0"/>
            </a:spcBef>
            <a:spcAft>
              <a:spcPts val="0"/>
            </a:spcAft>
            <a:buClrTx/>
            <a:buSzTx/>
            <a:buFontTx/>
            <a:buNone/>
            <a:tabLst/>
            <a:defRPr/>
          </a:pPr>
          <a:endParaRPr lang="fr-FR" sz="700" b="0">
            <a:solidFill>
              <a:schemeClr val="bg1">
                <a:lumMod val="50000"/>
              </a:schemeClr>
            </a:solidFill>
            <a:latin typeface="Calibri" pitchFamily="34" charset="0"/>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050" b="0">
              <a:solidFill>
                <a:schemeClr val="bg1">
                  <a:lumMod val="50000"/>
                </a:schemeClr>
              </a:solidFill>
              <a:latin typeface="Calibri" pitchFamily="34" charset="0"/>
              <a:ea typeface="+mn-ea"/>
              <a:cs typeface="+mn-cs"/>
            </a:rPr>
            <a:t>78 %</a:t>
          </a:r>
          <a:r>
            <a:rPr lang="fr-FR" sz="1050" b="0" baseline="0">
              <a:solidFill>
                <a:schemeClr val="bg1">
                  <a:lumMod val="50000"/>
                </a:schemeClr>
              </a:solidFill>
              <a:latin typeface="Calibri" pitchFamily="34" charset="0"/>
              <a:ea typeface="+mn-ea"/>
              <a:cs typeface="+mn-cs"/>
            </a:rPr>
            <a:t> de personnels titulaires, 22 % de personnels contractuels au niveau ministériel.</a:t>
          </a:r>
          <a:endParaRPr lang="fr-FR" sz="1050" b="0">
            <a:solidFill>
              <a:schemeClr val="bg1">
                <a:lumMod val="50000"/>
              </a:schemeClr>
            </a:solidFill>
            <a:latin typeface="Calibri" pitchFamily="34" charset="0"/>
            <a:ea typeface="+mn-ea"/>
            <a:cs typeface="+mn-cs"/>
          </a:endParaRPr>
        </a:p>
        <a:p>
          <a:pPr algn="l"/>
          <a:r>
            <a:rPr lang="fr-FR" sz="900" b="0" i="1">
              <a:solidFill>
                <a:schemeClr val="bg1">
                  <a:lumMod val="50000"/>
                </a:schemeClr>
              </a:solidFill>
              <a:latin typeface="Calibri" pitchFamily="34" charset="0"/>
              <a:ea typeface="+mn-ea"/>
              <a:cs typeface="+mn-cs"/>
            </a:rPr>
            <a:t>(Source</a:t>
          </a:r>
          <a:r>
            <a:rPr lang="fr-FR" sz="900" b="0" i="1" baseline="0">
              <a:solidFill>
                <a:schemeClr val="bg1">
                  <a:lumMod val="50000"/>
                </a:schemeClr>
              </a:solidFill>
              <a:latin typeface="Calibri" pitchFamily="34" charset="0"/>
              <a:ea typeface="+mn-ea"/>
              <a:cs typeface="+mn-cs"/>
            </a:rPr>
            <a:t> : Bilan Social MESRI </a:t>
          </a:r>
          <a:r>
            <a:rPr lang="fr-FR" sz="900" b="0" i="1" baseline="0">
              <a:solidFill>
                <a:srgbClr val="00B050"/>
              </a:solidFill>
              <a:latin typeface="Calibri" pitchFamily="34" charset="0"/>
              <a:ea typeface="+mn-ea"/>
              <a:cs typeface="+mn-cs"/>
            </a:rPr>
            <a:t>2019-2020</a:t>
          </a:r>
          <a:r>
            <a:rPr lang="fr-FR" sz="900" b="0" i="1" baseline="0">
              <a:solidFill>
                <a:schemeClr val="bg1">
                  <a:lumMod val="50000"/>
                </a:schemeClr>
              </a:solidFill>
              <a:latin typeface="Calibri" pitchFamily="34" charset="0"/>
              <a:ea typeface="+mn-ea"/>
              <a:cs typeface="+mn-cs"/>
            </a:rPr>
            <a:t>)</a:t>
          </a:r>
          <a:endParaRPr lang="fr-FR" sz="900" b="0" i="1">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endParaRPr lang="fr-FR" sz="1100" b="0">
            <a:solidFill>
              <a:schemeClr val="bg1">
                <a:lumMod val="50000"/>
              </a:schemeClr>
            </a:solidFill>
            <a:latin typeface="Calibri" pitchFamily="34" charset="0"/>
            <a:ea typeface="+mn-ea"/>
            <a:cs typeface="+mn-cs"/>
          </a:endParaRPr>
        </a:p>
      </xdr:txBody>
    </xdr:sp>
    <xdr:clientData/>
  </xdr:twoCellAnchor>
  <xdr:twoCellAnchor>
    <xdr:from>
      <xdr:col>12</xdr:col>
      <xdr:colOff>123825</xdr:colOff>
      <xdr:row>28</xdr:row>
      <xdr:rowOff>19742</xdr:rowOff>
    </xdr:from>
    <xdr:to>
      <xdr:col>16</xdr:col>
      <xdr:colOff>358141</xdr:colOff>
      <xdr:row>41</xdr:row>
      <xdr:rowOff>76200</xdr:rowOff>
    </xdr:to>
    <xdr:graphicFrame macro="">
      <xdr:nvGraphicFramePr>
        <xdr:cNvPr id="2452905" name="Graphique 2">
          <a:extLst>
            <a:ext uri="{FF2B5EF4-FFF2-40B4-BE49-F238E27FC236}">
              <a16:creationId xmlns:a16="http://schemas.microsoft.com/office/drawing/2014/main" id="{00000000-0008-0000-0C00-0000A96D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54035</xdr:colOff>
      <xdr:row>12</xdr:row>
      <xdr:rowOff>29441</xdr:rowOff>
    </xdr:from>
    <xdr:to>
      <xdr:col>15</xdr:col>
      <xdr:colOff>19050</xdr:colOff>
      <xdr:row>25</xdr:row>
      <xdr:rowOff>87630</xdr:rowOff>
    </xdr:to>
    <xdr:graphicFrame macro="">
      <xdr:nvGraphicFramePr>
        <xdr:cNvPr id="2452906" name="Graphique 4">
          <a:extLst>
            <a:ext uri="{FF2B5EF4-FFF2-40B4-BE49-F238E27FC236}">
              <a16:creationId xmlns:a16="http://schemas.microsoft.com/office/drawing/2014/main" id="{00000000-0008-0000-0C00-0000AA6D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34925</xdr:colOff>
      <xdr:row>16</xdr:row>
      <xdr:rowOff>127634</xdr:rowOff>
    </xdr:from>
    <xdr:to>
      <xdr:col>18</xdr:col>
      <xdr:colOff>102870</xdr:colOff>
      <xdr:row>26</xdr:row>
      <xdr:rowOff>28574</xdr:rowOff>
    </xdr:to>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9217025" y="2737484"/>
          <a:ext cx="2030095" cy="1405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000" baseline="0">
              <a:solidFill>
                <a:schemeClr val="bg1">
                  <a:lumMod val="50000"/>
                </a:schemeClr>
              </a:solidFill>
              <a:latin typeface="Calibri" panose="020F0502020204030204" pitchFamily="34" charset="0"/>
              <a:ea typeface="+mn-ea"/>
              <a:cs typeface="Calibri" panose="020F0502020204030204" pitchFamily="34" charset="0"/>
            </a:rPr>
            <a:t>Ratios Enseignement Supérieur</a:t>
          </a:r>
        </a:p>
        <a:p>
          <a:endParaRPr lang="fr-FR" sz="900" baseline="0">
            <a:solidFill>
              <a:schemeClr val="bg1">
                <a:lumMod val="50000"/>
              </a:schemeClr>
            </a:solidFill>
            <a:latin typeface="Calibri" panose="020F0502020204030204" pitchFamily="34" charset="0"/>
            <a:ea typeface="+mn-ea"/>
            <a:cs typeface="Calibri" panose="020F0502020204030204" pitchFamily="34" charset="0"/>
          </a:endParaRPr>
        </a:p>
        <a:p>
          <a:pPr algn="r"/>
          <a:r>
            <a:rPr lang="fr-FR" sz="1200" baseline="0">
              <a:solidFill>
                <a:schemeClr val="bg1">
                  <a:lumMod val="50000"/>
                </a:schemeClr>
              </a:solidFill>
              <a:latin typeface="Calibri" panose="020F0502020204030204" pitchFamily="34" charset="0"/>
              <a:ea typeface="+mn-ea"/>
              <a:cs typeface="Calibri" panose="020F0502020204030204" pitchFamily="34" charset="0"/>
            </a:rPr>
            <a:t>32% </a:t>
          </a:r>
          <a:r>
            <a:rPr lang="fr-FR" sz="900" baseline="0">
              <a:solidFill>
                <a:schemeClr val="bg1">
                  <a:lumMod val="50000"/>
                </a:schemeClr>
              </a:solidFill>
              <a:latin typeface="Calibri" panose="020F0502020204030204" pitchFamily="34" charset="0"/>
              <a:ea typeface="+mn-ea"/>
              <a:cs typeface="Calibri" panose="020F0502020204030204" pitchFamily="34" charset="0"/>
            </a:rPr>
            <a:t>catégorie A</a:t>
          </a:r>
        </a:p>
        <a:p>
          <a:pPr algn="r"/>
          <a:r>
            <a:rPr lang="fr-FR" sz="1200" baseline="0">
              <a:solidFill>
                <a:schemeClr val="bg1">
                  <a:lumMod val="50000"/>
                </a:schemeClr>
              </a:solidFill>
              <a:latin typeface="Calibri" panose="020F0502020204030204" pitchFamily="34" charset="0"/>
              <a:ea typeface="+mn-ea"/>
              <a:cs typeface="Calibri" panose="020F0502020204030204" pitchFamily="34" charset="0"/>
            </a:rPr>
            <a:t>27%</a:t>
          </a:r>
          <a:r>
            <a:rPr lang="fr-FR" sz="900" baseline="0">
              <a:solidFill>
                <a:schemeClr val="bg1">
                  <a:lumMod val="50000"/>
                </a:schemeClr>
              </a:solidFill>
              <a:latin typeface="Calibri" panose="020F0502020204030204" pitchFamily="34" charset="0"/>
              <a:ea typeface="+mn-ea"/>
              <a:cs typeface="Calibri" panose="020F0502020204030204" pitchFamily="34" charset="0"/>
            </a:rPr>
            <a:t> catégorie B</a:t>
          </a:r>
        </a:p>
        <a:p>
          <a:pPr algn="r"/>
          <a:r>
            <a:rPr lang="fr-FR" sz="1200" baseline="0">
              <a:solidFill>
                <a:schemeClr val="bg1">
                  <a:lumMod val="50000"/>
                </a:schemeClr>
              </a:solidFill>
              <a:latin typeface="Calibri" panose="020F0502020204030204" pitchFamily="34" charset="0"/>
              <a:ea typeface="+mn-ea"/>
              <a:cs typeface="Calibri" panose="020F0502020204030204" pitchFamily="34" charset="0"/>
            </a:rPr>
            <a:t>41%</a:t>
          </a:r>
          <a:r>
            <a:rPr lang="fr-FR" sz="900" baseline="0">
              <a:solidFill>
                <a:schemeClr val="bg1">
                  <a:lumMod val="50000"/>
                </a:schemeClr>
              </a:solidFill>
              <a:latin typeface="Calibri" panose="020F0502020204030204" pitchFamily="34" charset="0"/>
              <a:ea typeface="+mn-ea"/>
              <a:cs typeface="Calibri" panose="020F0502020204030204" pitchFamily="34" charset="0"/>
            </a:rPr>
            <a:t> catégorie C</a:t>
          </a:r>
        </a:p>
        <a:p>
          <a:pPr algn="r"/>
          <a:endParaRPr lang="fr-FR" sz="900" baseline="0">
            <a:solidFill>
              <a:srgbClr val="FF0000"/>
            </a:solidFill>
            <a:latin typeface="Calibri" panose="020F0502020204030204" pitchFamily="34" charset="0"/>
            <a:ea typeface="+mn-ea"/>
            <a:cs typeface="Calibri" panose="020F0502020204030204" pitchFamily="34" charset="0"/>
          </a:endParaRPr>
        </a:p>
        <a:p>
          <a:pPr algn="r"/>
          <a:r>
            <a:rPr lang="fr-FR" sz="800" baseline="0">
              <a:solidFill>
                <a:schemeClr val="bg1">
                  <a:lumMod val="50000"/>
                </a:schemeClr>
              </a:solidFill>
              <a:latin typeface="Calibri" panose="020F0502020204030204" pitchFamily="34" charset="0"/>
              <a:ea typeface="+mn-ea"/>
              <a:cs typeface="Calibri" panose="020F0502020204030204" pitchFamily="34" charset="0"/>
            </a:rPr>
            <a:t>(</a:t>
          </a:r>
          <a:r>
            <a:rPr lang="fr-FR" sz="800" i="1" baseline="0">
              <a:solidFill>
                <a:schemeClr val="bg1">
                  <a:lumMod val="50000"/>
                </a:schemeClr>
              </a:solidFill>
              <a:latin typeface="Calibri" panose="020F0502020204030204" pitchFamily="34" charset="0"/>
              <a:ea typeface="+mn-ea"/>
              <a:cs typeface="Calibri" panose="020F0502020204030204" pitchFamily="34" charset="0"/>
            </a:rPr>
            <a:t>source : Bilan Social MESRI </a:t>
          </a:r>
          <a:r>
            <a:rPr lang="fr-FR" sz="800" i="1" baseline="0">
              <a:solidFill>
                <a:srgbClr val="00B050"/>
              </a:solidFill>
              <a:latin typeface="Calibri" panose="020F0502020204030204" pitchFamily="34" charset="0"/>
              <a:ea typeface="+mn-ea"/>
              <a:cs typeface="Calibri" panose="020F0502020204030204" pitchFamily="34" charset="0"/>
            </a:rPr>
            <a:t>2019-2020</a:t>
          </a:r>
          <a:r>
            <a:rPr lang="fr-FR" sz="800" i="1" baseline="0">
              <a:solidFill>
                <a:schemeClr val="bg1">
                  <a:lumMod val="50000"/>
                </a:schemeClr>
              </a:solidFill>
              <a:latin typeface="Calibri" panose="020F0502020204030204" pitchFamily="34" charset="0"/>
              <a:ea typeface="+mn-ea"/>
              <a:cs typeface="Calibri" panose="020F0502020204030204" pitchFamily="34" charset="0"/>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748665</xdr:colOff>
      <xdr:row>15</xdr:row>
      <xdr:rowOff>39886</xdr:rowOff>
    </xdr:from>
    <xdr:to>
      <xdr:col>21</xdr:col>
      <xdr:colOff>181439</xdr:colOff>
      <xdr:row>22</xdr:row>
      <xdr:rowOff>114301</xdr:rowOff>
    </xdr:to>
    <xdr:sp macro="" textlink="">
      <xdr:nvSpPr>
        <xdr:cNvPr id="2" name="ZoneTexte 1">
          <a:extLst>
            <a:ext uri="{FF2B5EF4-FFF2-40B4-BE49-F238E27FC236}">
              <a16:creationId xmlns:a16="http://schemas.microsoft.com/office/drawing/2014/main" id="{00000000-0008-0000-0D00-000002000000}"/>
            </a:ext>
          </a:extLst>
        </xdr:cNvPr>
        <xdr:cNvSpPr txBox="1"/>
      </xdr:nvSpPr>
      <xdr:spPr>
        <a:xfrm>
          <a:off x="6120765" y="3602236"/>
          <a:ext cx="3861899" cy="21318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r-FR" sz="3200" b="0" i="0" u="none" strike="noStrike" kern="0" cap="none" spc="0" normalizeH="0" baseline="0" noProof="0">
              <a:ln>
                <a:noFill/>
              </a:ln>
              <a:solidFill>
                <a:prstClr val="white">
                  <a:lumMod val="50000"/>
                </a:prstClr>
              </a:solidFill>
              <a:effectLst/>
              <a:uLnTx/>
              <a:uFillTx/>
              <a:latin typeface="Calibri" pitchFamily="34" charset="0"/>
              <a:ea typeface="+mn-ea"/>
              <a:cs typeface="+mn-cs"/>
            </a:rPr>
            <a:t>39,2</a:t>
          </a:r>
          <a:r>
            <a:rPr kumimoji="0" lang="fr-FR" sz="3200" b="0" i="0" u="none" strike="noStrike" kern="0" cap="none" spc="0" normalizeH="0" baseline="0" noProof="0">
              <a:ln>
                <a:noFill/>
              </a:ln>
              <a:solidFill>
                <a:srgbClr val="FF0000"/>
              </a:solidFill>
              <a:effectLst/>
              <a:uLnTx/>
              <a:uFillTx/>
              <a:latin typeface="Calibri" pitchFamily="34" charset="0"/>
              <a:ea typeface="+mn-ea"/>
              <a:cs typeface="+mn-cs"/>
            </a:rPr>
            <a:t> </a:t>
          </a:r>
          <a:r>
            <a:rPr kumimoji="0" lang="fr-FR" sz="3200" b="0" i="0" u="none" strike="noStrike" kern="0" cap="none" spc="0" normalizeH="0" baseline="0" noProof="0">
              <a:ln>
                <a:noFill/>
              </a:ln>
              <a:solidFill>
                <a:prstClr val="white">
                  <a:lumMod val="50000"/>
                </a:prstClr>
              </a:solidFill>
              <a:effectLst/>
              <a:uLnTx/>
              <a:uFillTx/>
              <a:latin typeface="Calibri" pitchFamily="34" charset="0"/>
              <a:ea typeface="+mn-ea"/>
              <a:cs typeface="+mn-cs"/>
            </a:rPr>
            <a:t>%</a:t>
          </a:r>
          <a:r>
            <a:rPr kumimoji="0" lang="fr-FR" sz="1100" b="0" i="0" u="none" strike="noStrike" kern="0" cap="none" spc="0" normalizeH="0" baseline="0" noProof="0">
              <a:ln>
                <a:noFill/>
              </a:ln>
              <a:solidFill>
                <a:prstClr val="white">
                  <a:lumMod val="65000"/>
                </a:prstClr>
              </a:solidFill>
              <a:effectLst/>
              <a:uLnTx/>
              <a:uFillTx/>
              <a:latin typeface="+mn-lt"/>
              <a:ea typeface="+mn-ea"/>
              <a:cs typeface="+mn-cs"/>
            </a:rPr>
            <a:t> </a:t>
          </a:r>
          <a:r>
            <a:rPr kumimoji="0" lang="fr-FR" sz="1100" b="0" i="0" u="none" strike="noStrike" kern="0" cap="none" spc="0" normalizeH="0" baseline="0" noProof="0">
              <a:ln>
                <a:noFill/>
              </a:ln>
              <a:solidFill>
                <a:prstClr val="white">
                  <a:lumMod val="50000"/>
                </a:prstClr>
              </a:solidFill>
              <a:effectLst/>
              <a:uLnTx/>
              <a:uFillTx/>
              <a:latin typeface="Calibri" pitchFamily="34" charset="0"/>
              <a:ea typeface="+mn-ea"/>
              <a:cs typeface="+mn-cs"/>
            </a:rPr>
            <a:t>des BIATSS sont affectés en UFR ou Institut</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3200" b="0" i="0" u="none" strike="noStrike" kern="0" cap="none" spc="0" normalizeH="0" baseline="0" noProof="0">
              <a:ln>
                <a:noFill/>
              </a:ln>
              <a:solidFill>
                <a:prstClr val="white">
                  <a:lumMod val="50000"/>
                </a:prstClr>
              </a:solidFill>
              <a:effectLst/>
              <a:uLnTx/>
              <a:uFillTx/>
              <a:latin typeface="Calibri" pitchFamily="34" charset="0"/>
              <a:ea typeface="+mn-ea"/>
              <a:cs typeface="+mn-cs"/>
            </a:rPr>
            <a:t>10,3</a:t>
          </a:r>
          <a:r>
            <a:rPr kumimoji="0" lang="fr-FR" sz="3200" b="0" i="0" u="none" strike="noStrike" kern="0" cap="none" spc="0" normalizeH="0" baseline="0" noProof="0">
              <a:ln>
                <a:noFill/>
              </a:ln>
              <a:solidFill>
                <a:srgbClr val="FF0000"/>
              </a:solidFill>
              <a:effectLst/>
              <a:uLnTx/>
              <a:uFillTx/>
              <a:latin typeface="Calibri" pitchFamily="34" charset="0"/>
              <a:ea typeface="+mn-ea"/>
              <a:cs typeface="+mn-cs"/>
            </a:rPr>
            <a:t> </a:t>
          </a:r>
          <a:r>
            <a:rPr kumimoji="0" lang="fr-FR" sz="3200" b="0" i="0" u="none" strike="noStrike" kern="0" cap="none" spc="0" normalizeH="0" baseline="0" noProof="0">
              <a:ln>
                <a:noFill/>
              </a:ln>
              <a:solidFill>
                <a:prstClr val="white">
                  <a:lumMod val="50000"/>
                </a:prstClr>
              </a:solidFill>
              <a:effectLst/>
              <a:uLnTx/>
              <a:uFillTx/>
              <a:latin typeface="Calibri" pitchFamily="34" charset="0"/>
              <a:ea typeface="+mn-ea"/>
              <a:cs typeface="+mn-cs"/>
            </a:rPr>
            <a:t>%</a:t>
          </a:r>
          <a:r>
            <a:rPr kumimoji="0" lang="fr-FR" sz="1100" b="0" i="0" u="none" strike="noStrike" kern="0" cap="none" spc="0" normalizeH="0" baseline="0" noProof="0">
              <a:ln>
                <a:noFill/>
              </a:ln>
              <a:solidFill>
                <a:prstClr val="white">
                  <a:lumMod val="50000"/>
                </a:prstClr>
              </a:solidFill>
              <a:effectLst/>
              <a:uLnTx/>
              <a:uFillTx/>
              <a:latin typeface="+mn-lt"/>
              <a:ea typeface="+mn-ea"/>
              <a:cs typeface="+mn-cs"/>
            </a:rPr>
            <a:t> </a:t>
          </a:r>
          <a:r>
            <a:rPr kumimoji="0" lang="fr-FR" sz="1100" b="0" i="0" u="none" strike="noStrike" kern="0" cap="none" spc="0" normalizeH="0" baseline="0" noProof="0">
              <a:ln>
                <a:noFill/>
              </a:ln>
              <a:solidFill>
                <a:prstClr val="white">
                  <a:lumMod val="50000"/>
                </a:prstClr>
              </a:solidFill>
              <a:effectLst/>
              <a:uLnTx/>
              <a:uFillTx/>
              <a:latin typeface="Calibri" pitchFamily="34" charset="0"/>
              <a:ea typeface="+mn-ea"/>
              <a:cs typeface="+mn-cs"/>
            </a:rPr>
            <a:t>dans les services communs</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3200" b="0" i="0" u="none" strike="noStrike" kern="0" cap="none" spc="0" normalizeH="0" baseline="0" noProof="0">
              <a:ln>
                <a:noFill/>
              </a:ln>
              <a:solidFill>
                <a:prstClr val="white">
                  <a:lumMod val="50000"/>
                </a:prstClr>
              </a:solidFill>
              <a:effectLst/>
              <a:uLnTx/>
              <a:uFillTx/>
              <a:latin typeface="Calibri" pitchFamily="34" charset="0"/>
              <a:ea typeface="+mn-ea"/>
              <a:cs typeface="+mn-cs"/>
            </a:rPr>
            <a:t>36,9%</a:t>
          </a:r>
          <a:r>
            <a:rPr kumimoji="0" lang="fr-FR" sz="1100" b="0" i="0" u="none" strike="noStrike" kern="0" cap="none" spc="0" normalizeH="0" baseline="0" noProof="0">
              <a:ln>
                <a:noFill/>
              </a:ln>
              <a:solidFill>
                <a:prstClr val="white">
                  <a:lumMod val="50000"/>
                </a:prstClr>
              </a:solidFill>
              <a:effectLst/>
              <a:uLnTx/>
              <a:uFillTx/>
              <a:latin typeface="+mn-lt"/>
              <a:ea typeface="+mn-ea"/>
              <a:cs typeface="+mn-cs"/>
            </a:rPr>
            <a:t> </a:t>
          </a:r>
          <a:r>
            <a:rPr kumimoji="0" lang="fr-FR" sz="1100" b="0" i="0" u="none" strike="noStrike" kern="0" cap="none" spc="0" normalizeH="0" baseline="0" noProof="0">
              <a:ln>
                <a:noFill/>
              </a:ln>
              <a:solidFill>
                <a:prstClr val="white">
                  <a:lumMod val="50000"/>
                </a:prstClr>
              </a:solidFill>
              <a:effectLst/>
              <a:uLnTx/>
              <a:uFillTx/>
              <a:latin typeface="Calibri" pitchFamily="34" charset="0"/>
              <a:ea typeface="+mn-ea"/>
              <a:cs typeface="+mn-cs"/>
            </a:rPr>
            <a:t>à la Direction Générale des Services</a:t>
          </a:r>
        </a:p>
        <a:p>
          <a:pPr marL="457200" marR="0" lvl="1" indent="0" algn="r" defTabSz="914400" eaLnBrk="1" fontAlgn="auto" latinLnBrk="0" hangingPunct="1">
            <a:lnSpc>
              <a:spcPct val="100000"/>
            </a:lnSpc>
            <a:spcBef>
              <a:spcPts val="0"/>
            </a:spcBef>
            <a:spcAft>
              <a:spcPts val="0"/>
            </a:spcAft>
            <a:buClrTx/>
            <a:buSzTx/>
            <a:buFontTx/>
            <a:buNone/>
            <a:tabLst/>
            <a:defRPr/>
          </a:pPr>
          <a:r>
            <a:rPr kumimoji="0" lang="fr-FR" sz="3200" b="0" i="0" u="none" strike="noStrike" kern="0" cap="none" spc="0" normalizeH="0" baseline="0" noProof="0">
              <a:ln>
                <a:noFill/>
              </a:ln>
              <a:solidFill>
                <a:prstClr val="white">
                  <a:lumMod val="50000"/>
                </a:prstClr>
              </a:solidFill>
              <a:effectLst/>
              <a:uLnTx/>
              <a:uFillTx/>
              <a:latin typeface="Calibri" pitchFamily="34" charset="0"/>
              <a:ea typeface="+mn-ea"/>
              <a:cs typeface="+mn-cs"/>
            </a:rPr>
            <a:t>13,6</a:t>
          </a:r>
          <a:r>
            <a:rPr kumimoji="0" lang="fr-FR" sz="3200" b="0" i="0" u="none" strike="noStrike" kern="0" cap="none" spc="0" normalizeH="0" baseline="0" noProof="0">
              <a:ln>
                <a:noFill/>
              </a:ln>
              <a:solidFill>
                <a:srgbClr val="FF0000"/>
              </a:solidFill>
              <a:effectLst/>
              <a:uLnTx/>
              <a:uFillTx/>
              <a:latin typeface="Calibri" pitchFamily="34" charset="0"/>
              <a:ea typeface="+mn-ea"/>
              <a:cs typeface="+mn-cs"/>
            </a:rPr>
            <a:t> </a:t>
          </a:r>
          <a:r>
            <a:rPr kumimoji="0" lang="fr-FR" sz="3200" b="0" i="0" u="none" strike="noStrike" kern="0" cap="none" spc="0" normalizeH="0" baseline="0" noProof="0">
              <a:ln>
                <a:noFill/>
              </a:ln>
              <a:solidFill>
                <a:prstClr val="white">
                  <a:lumMod val="50000"/>
                </a:prstClr>
              </a:solidFill>
              <a:effectLst/>
              <a:uLnTx/>
              <a:uFillTx/>
              <a:latin typeface="Calibri" pitchFamily="34" charset="0"/>
              <a:ea typeface="+mn-ea"/>
              <a:cs typeface="+mn-cs"/>
            </a:rPr>
            <a:t>% </a:t>
          </a:r>
          <a:r>
            <a:rPr kumimoji="0" lang="fr-FR" sz="1100" b="0" i="0" u="none" strike="noStrike" kern="0" cap="none" spc="0" normalizeH="0" baseline="0" noProof="0">
              <a:ln>
                <a:noFill/>
              </a:ln>
              <a:solidFill>
                <a:prstClr val="white">
                  <a:lumMod val="50000"/>
                </a:prstClr>
              </a:solidFill>
              <a:effectLst/>
              <a:uLnTx/>
              <a:uFillTx/>
              <a:latin typeface="Calibri" pitchFamily="34" charset="0"/>
              <a:ea typeface="+mn-ea"/>
              <a:cs typeface="+mn-cs"/>
            </a:rPr>
            <a:t>dans les Unités de recherche</a:t>
          </a:r>
        </a:p>
      </xdr:txBody>
    </xdr:sp>
    <xdr:clientData/>
  </xdr:twoCellAnchor>
  <xdr:twoCellAnchor>
    <xdr:from>
      <xdr:col>13</xdr:col>
      <xdr:colOff>255270</xdr:colOff>
      <xdr:row>24</xdr:row>
      <xdr:rowOff>66675</xdr:rowOff>
    </xdr:from>
    <xdr:to>
      <xdr:col>22</xdr:col>
      <xdr:colOff>187154</xdr:colOff>
      <xdr:row>32</xdr:row>
      <xdr:rowOff>99060</xdr:rowOff>
    </xdr:to>
    <xdr:sp macro="" textlink="">
      <xdr:nvSpPr>
        <xdr:cNvPr id="3" name="ZoneTexte 2">
          <a:extLst>
            <a:ext uri="{FF2B5EF4-FFF2-40B4-BE49-F238E27FC236}">
              <a16:creationId xmlns:a16="http://schemas.microsoft.com/office/drawing/2014/main" id="{61619104-963B-4AF0-944F-08C16650EAB5}"/>
            </a:ext>
          </a:extLst>
        </xdr:cNvPr>
        <xdr:cNvSpPr txBox="1"/>
      </xdr:nvSpPr>
      <xdr:spPr>
        <a:xfrm>
          <a:off x="6412230" y="5880735"/>
          <a:ext cx="3719024" cy="2257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r-FR" sz="3200" b="0" i="0" u="none" strike="noStrike" kern="0" cap="none" spc="0" normalizeH="0" baseline="0" noProof="0">
              <a:ln>
                <a:noFill/>
              </a:ln>
              <a:solidFill>
                <a:schemeClr val="bg1">
                  <a:lumMod val="50000"/>
                </a:schemeClr>
              </a:solidFill>
              <a:effectLst/>
              <a:uLnTx/>
              <a:uFillTx/>
              <a:latin typeface="Calibri" pitchFamily="34" charset="0"/>
              <a:ea typeface="+mn-ea"/>
              <a:cs typeface="+mn-cs"/>
            </a:rPr>
            <a:t>40,9 %</a:t>
          </a:r>
          <a:r>
            <a:rPr kumimoji="0" lang="fr-FR" sz="1100" b="0" i="0" u="none" strike="noStrike" kern="0" cap="none" spc="0" normalizeH="0" baseline="0" noProof="0">
              <a:ln>
                <a:noFill/>
              </a:ln>
              <a:solidFill>
                <a:schemeClr val="bg1">
                  <a:lumMod val="50000"/>
                </a:schemeClr>
              </a:solidFill>
              <a:effectLst/>
              <a:uLnTx/>
              <a:uFillTx/>
              <a:latin typeface="+mn-lt"/>
              <a:ea typeface="+mn-ea"/>
              <a:cs typeface="+mn-cs"/>
            </a:rPr>
            <a:t> </a:t>
          </a:r>
          <a:r>
            <a:rPr kumimoji="0" lang="fr-FR" sz="1100" b="0" i="0" u="none" strike="noStrike" kern="0" cap="none" spc="0" normalizeH="0" baseline="0" noProof="0">
              <a:ln>
                <a:noFill/>
              </a:ln>
              <a:solidFill>
                <a:schemeClr val="bg1">
                  <a:lumMod val="50000"/>
                </a:schemeClr>
              </a:solidFill>
              <a:effectLst/>
              <a:uLnTx/>
              <a:uFillTx/>
              <a:latin typeface="Calibri" pitchFamily="34" charset="0"/>
              <a:ea typeface="+mn-ea"/>
              <a:cs typeface="+mn-cs"/>
            </a:rPr>
            <a:t>des BIATSS sont affectés en UFR ou Institut</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3200" b="0" i="0" u="none" strike="noStrike" kern="0" cap="none" spc="0" normalizeH="0" baseline="0" noProof="0">
              <a:ln>
                <a:noFill/>
              </a:ln>
              <a:solidFill>
                <a:schemeClr val="bg1">
                  <a:lumMod val="50000"/>
                </a:schemeClr>
              </a:solidFill>
              <a:effectLst/>
              <a:uLnTx/>
              <a:uFillTx/>
              <a:latin typeface="Calibri" pitchFamily="34" charset="0"/>
              <a:ea typeface="+mn-ea"/>
              <a:cs typeface="+mn-cs"/>
            </a:rPr>
            <a:t>10,8 %</a:t>
          </a:r>
          <a:r>
            <a:rPr kumimoji="0" lang="fr-FR" sz="1100" b="0" i="0" u="none" strike="noStrike" kern="0" cap="none" spc="0" normalizeH="0" baseline="0" noProof="0">
              <a:ln>
                <a:noFill/>
              </a:ln>
              <a:solidFill>
                <a:schemeClr val="bg1">
                  <a:lumMod val="50000"/>
                </a:schemeClr>
              </a:solidFill>
              <a:effectLst/>
              <a:uLnTx/>
              <a:uFillTx/>
              <a:latin typeface="+mn-lt"/>
              <a:ea typeface="+mn-ea"/>
              <a:cs typeface="+mn-cs"/>
            </a:rPr>
            <a:t> </a:t>
          </a:r>
          <a:r>
            <a:rPr kumimoji="0" lang="fr-FR" sz="1100" b="0" i="0" u="none" strike="noStrike" kern="0" cap="none" spc="0" normalizeH="0" baseline="0" noProof="0">
              <a:ln>
                <a:noFill/>
              </a:ln>
              <a:solidFill>
                <a:schemeClr val="bg1">
                  <a:lumMod val="50000"/>
                </a:schemeClr>
              </a:solidFill>
              <a:effectLst/>
              <a:uLnTx/>
              <a:uFillTx/>
              <a:latin typeface="Calibri" pitchFamily="34" charset="0"/>
              <a:ea typeface="+mn-ea"/>
              <a:cs typeface="+mn-cs"/>
            </a:rPr>
            <a:t>dans les services communs</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3200" b="0" i="0" u="none" strike="noStrike" kern="0" cap="none" spc="0" normalizeH="0" baseline="0" noProof="0">
              <a:ln>
                <a:noFill/>
              </a:ln>
              <a:solidFill>
                <a:schemeClr val="bg1">
                  <a:lumMod val="50000"/>
                </a:schemeClr>
              </a:solidFill>
              <a:effectLst/>
              <a:uLnTx/>
              <a:uFillTx/>
              <a:latin typeface="Calibri" pitchFamily="34" charset="0"/>
              <a:ea typeface="+mn-ea"/>
              <a:cs typeface="+mn-cs"/>
            </a:rPr>
            <a:t>35,7 %</a:t>
          </a:r>
          <a:r>
            <a:rPr kumimoji="0" lang="fr-FR" sz="1100" b="0" i="0" u="none" strike="noStrike" kern="0" cap="none" spc="0" normalizeH="0" baseline="0" noProof="0">
              <a:ln>
                <a:noFill/>
              </a:ln>
              <a:solidFill>
                <a:schemeClr val="bg1">
                  <a:lumMod val="50000"/>
                </a:schemeClr>
              </a:solidFill>
              <a:effectLst/>
              <a:uLnTx/>
              <a:uFillTx/>
              <a:latin typeface="+mn-lt"/>
              <a:ea typeface="+mn-ea"/>
              <a:cs typeface="+mn-cs"/>
            </a:rPr>
            <a:t> </a:t>
          </a:r>
          <a:r>
            <a:rPr kumimoji="0" lang="fr-FR" sz="1100" b="0" i="0" u="none" strike="noStrike" kern="0" cap="none" spc="0" normalizeH="0" baseline="0" noProof="0">
              <a:ln>
                <a:noFill/>
              </a:ln>
              <a:solidFill>
                <a:schemeClr val="bg1">
                  <a:lumMod val="50000"/>
                </a:schemeClr>
              </a:solidFill>
              <a:effectLst/>
              <a:uLnTx/>
              <a:uFillTx/>
              <a:latin typeface="Calibri" pitchFamily="34" charset="0"/>
              <a:ea typeface="+mn-ea"/>
              <a:cs typeface="+mn-cs"/>
            </a:rPr>
            <a:t>à la Direction Générale des Services</a:t>
          </a:r>
        </a:p>
        <a:p>
          <a:pPr marL="457200" marR="0" lvl="1" indent="0" algn="r" defTabSz="914400" eaLnBrk="1" fontAlgn="auto" latinLnBrk="0" hangingPunct="1">
            <a:lnSpc>
              <a:spcPct val="100000"/>
            </a:lnSpc>
            <a:spcBef>
              <a:spcPts val="0"/>
            </a:spcBef>
            <a:spcAft>
              <a:spcPts val="0"/>
            </a:spcAft>
            <a:buClrTx/>
            <a:buSzTx/>
            <a:buFontTx/>
            <a:buNone/>
            <a:tabLst/>
            <a:defRPr/>
          </a:pPr>
          <a:r>
            <a:rPr kumimoji="0" lang="fr-FR" sz="3200" b="0" i="0" u="none" strike="noStrike" kern="0" cap="none" spc="0" normalizeH="0" baseline="0" noProof="0">
              <a:ln>
                <a:noFill/>
              </a:ln>
              <a:solidFill>
                <a:schemeClr val="bg1">
                  <a:lumMod val="50000"/>
                </a:schemeClr>
              </a:solidFill>
              <a:effectLst/>
              <a:uLnTx/>
              <a:uFillTx/>
              <a:latin typeface="Calibri" pitchFamily="34" charset="0"/>
              <a:ea typeface="+mn-ea"/>
              <a:cs typeface="+mn-cs"/>
            </a:rPr>
            <a:t>13,8 % </a:t>
          </a:r>
          <a:r>
            <a:rPr kumimoji="0" lang="fr-FR" sz="1100" b="0" i="0" u="none" strike="noStrike" kern="0" cap="none" spc="0" normalizeH="0" baseline="0" noProof="0">
              <a:ln>
                <a:noFill/>
              </a:ln>
              <a:solidFill>
                <a:schemeClr val="bg1">
                  <a:lumMod val="50000"/>
                </a:schemeClr>
              </a:solidFill>
              <a:effectLst/>
              <a:uLnTx/>
              <a:uFillTx/>
              <a:latin typeface="Calibri" pitchFamily="34" charset="0"/>
              <a:ea typeface="+mn-ea"/>
              <a:cs typeface="+mn-cs"/>
            </a:rPr>
            <a:t>dans les Unités de recherche</a:t>
          </a:r>
        </a:p>
      </xdr:txBody>
    </xdr:sp>
    <xdr:clientData/>
  </xdr:twoCellAnchor>
  <xdr:twoCellAnchor>
    <xdr:from>
      <xdr:col>12</xdr:col>
      <xdr:colOff>609600</xdr:colOff>
      <xdr:row>7</xdr:row>
      <xdr:rowOff>85725</xdr:rowOff>
    </xdr:from>
    <xdr:to>
      <xdr:col>21</xdr:col>
      <xdr:colOff>44279</xdr:colOff>
      <xdr:row>13</xdr:row>
      <xdr:rowOff>49650</xdr:rowOff>
    </xdr:to>
    <xdr:sp macro="" textlink="">
      <xdr:nvSpPr>
        <xdr:cNvPr id="4" name="ZoneTexte 3">
          <a:extLst>
            <a:ext uri="{FF2B5EF4-FFF2-40B4-BE49-F238E27FC236}">
              <a16:creationId xmlns:a16="http://schemas.microsoft.com/office/drawing/2014/main" id="{74931F0C-A1A5-4997-BBBC-A71D2D27FB4E}"/>
            </a:ext>
          </a:extLst>
        </xdr:cNvPr>
        <xdr:cNvSpPr txBox="1"/>
      </xdr:nvSpPr>
      <xdr:spPr>
        <a:xfrm>
          <a:off x="5886450" y="1095375"/>
          <a:ext cx="3778079" cy="2135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3200" b="0">
              <a:solidFill>
                <a:schemeClr val="bg1">
                  <a:lumMod val="50000"/>
                </a:schemeClr>
              </a:solidFill>
              <a:latin typeface="Calibri" pitchFamily="34" charset="0"/>
              <a:ea typeface="+mn-ea"/>
              <a:cs typeface="+mn-cs"/>
            </a:rPr>
            <a:t>38,6%</a:t>
          </a:r>
          <a:r>
            <a:rPr lang="fr-FR" sz="1100">
              <a:solidFill>
                <a:schemeClr val="bg1">
                  <a:lumMod val="50000"/>
                </a:schemeClr>
              </a:solidFill>
            </a:rPr>
            <a:t> </a:t>
          </a:r>
          <a:r>
            <a:rPr lang="fr-FR" sz="1100" b="0">
              <a:solidFill>
                <a:schemeClr val="bg1">
                  <a:lumMod val="50000"/>
                </a:schemeClr>
              </a:solidFill>
              <a:latin typeface="Calibri" pitchFamily="34" charset="0"/>
              <a:ea typeface="+mn-ea"/>
              <a:cs typeface="+mn-cs"/>
            </a:rPr>
            <a:t>des BIATSS sont affectés en UFR ou Institut</a:t>
          </a:r>
        </a:p>
        <a:p>
          <a:pPr algn="r"/>
          <a:r>
            <a:rPr lang="fr-FR" sz="3200" b="0">
              <a:solidFill>
                <a:schemeClr val="bg1">
                  <a:lumMod val="50000"/>
                </a:schemeClr>
              </a:solidFill>
              <a:latin typeface="Calibri" pitchFamily="34" charset="0"/>
              <a:ea typeface="+mn-ea"/>
              <a:cs typeface="+mn-cs"/>
            </a:rPr>
            <a:t>12,1%</a:t>
          </a:r>
          <a:r>
            <a:rPr lang="fr-FR" sz="1100" baseline="0">
              <a:solidFill>
                <a:schemeClr val="bg1">
                  <a:lumMod val="50000"/>
                </a:schemeClr>
              </a:solidFill>
            </a:rPr>
            <a:t> </a:t>
          </a:r>
          <a:r>
            <a:rPr lang="fr-FR" sz="1100" b="0">
              <a:solidFill>
                <a:schemeClr val="bg1">
                  <a:lumMod val="50000"/>
                </a:schemeClr>
              </a:solidFill>
              <a:latin typeface="Calibri" pitchFamily="34" charset="0"/>
              <a:ea typeface="+mn-ea"/>
              <a:cs typeface="+mn-cs"/>
            </a:rPr>
            <a:t>dans les services communs</a:t>
          </a:r>
        </a:p>
        <a:p>
          <a:pPr algn="r"/>
          <a:r>
            <a:rPr lang="fr-FR" sz="3200" b="0">
              <a:solidFill>
                <a:schemeClr val="bg1">
                  <a:lumMod val="50000"/>
                </a:schemeClr>
              </a:solidFill>
              <a:latin typeface="Calibri" pitchFamily="34" charset="0"/>
              <a:ea typeface="+mn-ea"/>
              <a:cs typeface="+mn-cs"/>
            </a:rPr>
            <a:t>36,7%</a:t>
          </a:r>
          <a:r>
            <a:rPr lang="fr-FR" sz="1100" baseline="0">
              <a:solidFill>
                <a:schemeClr val="bg1">
                  <a:lumMod val="50000"/>
                </a:schemeClr>
              </a:solidFill>
            </a:rPr>
            <a:t> </a:t>
          </a:r>
          <a:r>
            <a:rPr lang="fr-FR" sz="1100" b="0">
              <a:solidFill>
                <a:schemeClr val="bg1">
                  <a:lumMod val="50000"/>
                </a:schemeClr>
              </a:solidFill>
              <a:latin typeface="Calibri" pitchFamily="34" charset="0"/>
              <a:ea typeface="+mn-ea"/>
              <a:cs typeface="+mn-cs"/>
            </a:rPr>
            <a:t>à la Direction Générale des Services</a:t>
          </a:r>
        </a:p>
        <a:p>
          <a:pPr lvl="1" algn="r"/>
          <a:r>
            <a:rPr lang="fr-FR" sz="3200" b="0">
              <a:solidFill>
                <a:schemeClr val="bg1">
                  <a:lumMod val="50000"/>
                </a:schemeClr>
              </a:solidFill>
              <a:latin typeface="Calibri" pitchFamily="34" charset="0"/>
              <a:ea typeface="+mn-ea"/>
              <a:cs typeface="+mn-cs"/>
            </a:rPr>
            <a:t>12,7% </a:t>
          </a:r>
          <a:r>
            <a:rPr lang="fr-FR" sz="1100" b="0">
              <a:solidFill>
                <a:schemeClr val="bg1">
                  <a:lumMod val="50000"/>
                </a:schemeClr>
              </a:solidFill>
              <a:latin typeface="Calibri" pitchFamily="34" charset="0"/>
              <a:ea typeface="+mn-ea"/>
              <a:cs typeface="+mn-cs"/>
            </a:rPr>
            <a:t>dans les Unités de recherche</a:t>
          </a:r>
        </a:p>
      </xdr:txBody>
    </xdr:sp>
    <xdr:clientData/>
  </xdr:twoCellAnchor>
  <xdr:twoCellAnchor>
    <xdr:from>
      <xdr:col>13</xdr:col>
      <xdr:colOff>255270</xdr:colOff>
      <xdr:row>32</xdr:row>
      <xdr:rowOff>114300</xdr:rowOff>
    </xdr:from>
    <xdr:to>
      <xdr:col>22</xdr:col>
      <xdr:colOff>187154</xdr:colOff>
      <xdr:row>41</xdr:row>
      <xdr:rowOff>241935</xdr:rowOff>
    </xdr:to>
    <xdr:sp macro="" textlink="">
      <xdr:nvSpPr>
        <xdr:cNvPr id="5" name="ZoneTexte 4">
          <a:extLst>
            <a:ext uri="{FF2B5EF4-FFF2-40B4-BE49-F238E27FC236}">
              <a16:creationId xmlns:a16="http://schemas.microsoft.com/office/drawing/2014/main" id="{0FD369E2-7588-4E18-92DA-2BE1A8810ACB}"/>
            </a:ext>
          </a:extLst>
        </xdr:cNvPr>
        <xdr:cNvSpPr txBox="1"/>
      </xdr:nvSpPr>
      <xdr:spPr>
        <a:xfrm>
          <a:off x="6732270" y="5753100"/>
          <a:ext cx="3932384" cy="22898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3200" b="0">
              <a:solidFill>
                <a:srgbClr val="FF0000"/>
              </a:solidFill>
              <a:latin typeface="Calibri" pitchFamily="34" charset="0"/>
              <a:ea typeface="+mn-ea"/>
              <a:cs typeface="+mn-cs"/>
            </a:rPr>
            <a:t>41,0</a:t>
          </a:r>
          <a:r>
            <a:rPr lang="fr-FR" sz="3200" b="0" baseline="0">
              <a:solidFill>
                <a:srgbClr val="FF0000"/>
              </a:solidFill>
              <a:latin typeface="Calibri" pitchFamily="34" charset="0"/>
              <a:ea typeface="+mn-ea"/>
              <a:cs typeface="+mn-cs"/>
            </a:rPr>
            <a:t> </a:t>
          </a:r>
          <a:r>
            <a:rPr lang="fr-FR" sz="3200" b="0">
              <a:solidFill>
                <a:schemeClr val="bg1">
                  <a:lumMod val="50000"/>
                </a:schemeClr>
              </a:solidFill>
              <a:latin typeface="Calibri" pitchFamily="34" charset="0"/>
              <a:ea typeface="+mn-ea"/>
              <a:cs typeface="+mn-cs"/>
            </a:rPr>
            <a:t>%</a:t>
          </a:r>
          <a:r>
            <a:rPr lang="fr-FR" sz="1100">
              <a:solidFill>
                <a:schemeClr val="bg1">
                  <a:lumMod val="65000"/>
                </a:schemeClr>
              </a:solidFill>
            </a:rPr>
            <a:t> </a:t>
          </a:r>
          <a:r>
            <a:rPr lang="fr-FR" sz="1100" b="0">
              <a:solidFill>
                <a:schemeClr val="bg1">
                  <a:lumMod val="50000"/>
                </a:schemeClr>
              </a:solidFill>
              <a:latin typeface="Calibri" pitchFamily="34" charset="0"/>
              <a:ea typeface="+mn-ea"/>
              <a:cs typeface="+mn-cs"/>
            </a:rPr>
            <a:t>des BIATSS sont affectés en UFR ou Institut</a:t>
          </a:r>
        </a:p>
        <a:p>
          <a:pPr algn="r"/>
          <a:r>
            <a:rPr lang="fr-FR" sz="3200" b="0">
              <a:solidFill>
                <a:srgbClr val="FF0000"/>
              </a:solidFill>
              <a:latin typeface="Calibri" pitchFamily="34" charset="0"/>
              <a:ea typeface="+mn-ea"/>
              <a:cs typeface="+mn-cs"/>
            </a:rPr>
            <a:t>10,8</a:t>
          </a:r>
          <a:r>
            <a:rPr lang="fr-FR" sz="3200" b="0" baseline="0">
              <a:solidFill>
                <a:srgbClr val="FF0000"/>
              </a:solidFill>
              <a:latin typeface="Calibri" pitchFamily="34" charset="0"/>
              <a:ea typeface="+mn-ea"/>
              <a:cs typeface="+mn-cs"/>
            </a:rPr>
            <a:t> </a:t>
          </a:r>
          <a:r>
            <a:rPr lang="fr-FR" sz="3200" b="0">
              <a:solidFill>
                <a:schemeClr val="bg1">
                  <a:lumMod val="50000"/>
                </a:schemeClr>
              </a:solidFill>
              <a:latin typeface="Calibri" pitchFamily="34" charset="0"/>
              <a:ea typeface="+mn-ea"/>
              <a:cs typeface="+mn-cs"/>
            </a:rPr>
            <a:t>%</a:t>
          </a:r>
          <a:r>
            <a:rPr lang="fr-FR" sz="1100" baseline="0">
              <a:solidFill>
                <a:schemeClr val="bg1">
                  <a:lumMod val="50000"/>
                </a:schemeClr>
              </a:solidFill>
            </a:rPr>
            <a:t> </a:t>
          </a:r>
          <a:r>
            <a:rPr lang="fr-FR" sz="1100" b="0">
              <a:solidFill>
                <a:schemeClr val="bg1">
                  <a:lumMod val="50000"/>
                </a:schemeClr>
              </a:solidFill>
              <a:latin typeface="Calibri" pitchFamily="34" charset="0"/>
              <a:ea typeface="+mn-ea"/>
              <a:cs typeface="+mn-cs"/>
            </a:rPr>
            <a:t>dans les services communs</a:t>
          </a:r>
        </a:p>
        <a:p>
          <a:pPr algn="r"/>
          <a:r>
            <a:rPr lang="fr-FR" sz="3200" b="0">
              <a:solidFill>
                <a:srgbClr val="FF0000"/>
              </a:solidFill>
              <a:latin typeface="Calibri" pitchFamily="34" charset="0"/>
              <a:ea typeface="+mn-ea"/>
              <a:cs typeface="+mn-cs"/>
            </a:rPr>
            <a:t>35,3</a:t>
          </a:r>
          <a:r>
            <a:rPr lang="fr-FR" sz="3200" b="0" baseline="0">
              <a:solidFill>
                <a:srgbClr val="FF0000"/>
              </a:solidFill>
              <a:latin typeface="Calibri" pitchFamily="34" charset="0"/>
              <a:ea typeface="+mn-ea"/>
              <a:cs typeface="+mn-cs"/>
            </a:rPr>
            <a:t> </a:t>
          </a:r>
          <a:r>
            <a:rPr lang="fr-FR" sz="3200" b="0">
              <a:solidFill>
                <a:schemeClr val="bg1">
                  <a:lumMod val="50000"/>
                </a:schemeClr>
              </a:solidFill>
              <a:latin typeface="Calibri" pitchFamily="34" charset="0"/>
              <a:ea typeface="+mn-ea"/>
              <a:cs typeface="+mn-cs"/>
            </a:rPr>
            <a:t>%</a:t>
          </a:r>
          <a:r>
            <a:rPr lang="fr-FR" sz="1100" baseline="0">
              <a:solidFill>
                <a:schemeClr val="bg1">
                  <a:lumMod val="50000"/>
                </a:schemeClr>
              </a:solidFill>
            </a:rPr>
            <a:t> </a:t>
          </a:r>
          <a:r>
            <a:rPr lang="fr-FR" sz="1100" b="0">
              <a:solidFill>
                <a:schemeClr val="bg1">
                  <a:lumMod val="50000"/>
                </a:schemeClr>
              </a:solidFill>
              <a:latin typeface="Calibri" pitchFamily="34" charset="0"/>
              <a:ea typeface="+mn-ea"/>
              <a:cs typeface="+mn-cs"/>
            </a:rPr>
            <a:t>à la Direction Générale des Services</a:t>
          </a:r>
        </a:p>
        <a:p>
          <a:pPr lvl="1" algn="r"/>
          <a:r>
            <a:rPr lang="fr-FR" sz="3200" b="0">
              <a:solidFill>
                <a:srgbClr val="FF0000"/>
              </a:solidFill>
              <a:latin typeface="Calibri" pitchFamily="34" charset="0"/>
              <a:ea typeface="+mn-ea"/>
              <a:cs typeface="+mn-cs"/>
            </a:rPr>
            <a:t>12,9</a:t>
          </a:r>
          <a:r>
            <a:rPr lang="fr-FR" sz="3200" b="0" baseline="0">
              <a:solidFill>
                <a:srgbClr val="FF0000"/>
              </a:solidFill>
              <a:latin typeface="Calibri" pitchFamily="34" charset="0"/>
              <a:ea typeface="+mn-ea"/>
              <a:cs typeface="+mn-cs"/>
            </a:rPr>
            <a:t> </a:t>
          </a:r>
          <a:r>
            <a:rPr lang="fr-FR" sz="3200" b="0">
              <a:solidFill>
                <a:schemeClr val="bg1">
                  <a:lumMod val="50000"/>
                </a:schemeClr>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dans les Unités de recherche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188594</xdr:colOff>
      <xdr:row>55</xdr:row>
      <xdr:rowOff>18354</xdr:rowOff>
    </xdr:from>
    <xdr:to>
      <xdr:col>5</xdr:col>
      <xdr:colOff>617220</xdr:colOff>
      <xdr:row>65</xdr:row>
      <xdr:rowOff>38099</xdr:rowOff>
    </xdr:to>
    <xdr:sp macro="" textlink="">
      <xdr:nvSpPr>
        <xdr:cNvPr id="11" name="ZoneTexte 10">
          <a:extLst>
            <a:ext uri="{FF2B5EF4-FFF2-40B4-BE49-F238E27FC236}">
              <a16:creationId xmlns:a16="http://schemas.microsoft.com/office/drawing/2014/main" id="{00000000-0008-0000-0E00-00000B000000}"/>
            </a:ext>
          </a:extLst>
        </xdr:cNvPr>
        <xdr:cNvSpPr txBox="1"/>
      </xdr:nvSpPr>
      <xdr:spPr>
        <a:xfrm>
          <a:off x="188594" y="9878634"/>
          <a:ext cx="2927986" cy="1246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2000" b="0">
              <a:solidFill>
                <a:srgbClr val="00B050"/>
              </a:solidFill>
              <a:latin typeface="Calibri" pitchFamily="34" charset="0"/>
              <a:ea typeface="+mn-ea"/>
              <a:cs typeface="+mn-cs"/>
            </a:rPr>
            <a:t>755</a:t>
          </a:r>
          <a:r>
            <a:rPr lang="fr-FR" sz="1100" b="0">
              <a:solidFill>
                <a:srgbClr val="FFC000"/>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contrats (540 en</a:t>
          </a:r>
          <a:r>
            <a:rPr lang="fr-FR" sz="1100" b="0" baseline="0">
              <a:solidFill>
                <a:schemeClr val="bg1">
                  <a:lumMod val="50000"/>
                </a:schemeClr>
              </a:solidFill>
              <a:latin typeface="Calibri" pitchFamily="34" charset="0"/>
              <a:ea typeface="+mn-ea"/>
              <a:cs typeface="+mn-cs"/>
            </a:rPr>
            <a:t> 2020/</a:t>
          </a:r>
          <a:r>
            <a:rPr lang="fr-FR" sz="1100" b="0">
              <a:solidFill>
                <a:schemeClr val="bg1">
                  <a:lumMod val="50000"/>
                </a:schemeClr>
              </a:solidFill>
              <a:latin typeface="Calibri" pitchFamily="34" charset="0"/>
              <a:ea typeface="+mn-ea"/>
              <a:cs typeface="+mn-cs"/>
            </a:rPr>
            <a:t>2021) </a:t>
          </a:r>
        </a:p>
        <a:p>
          <a:pPr algn="r"/>
          <a:r>
            <a:rPr lang="fr-FR" sz="2000" b="0">
              <a:solidFill>
                <a:schemeClr val="bg1"/>
              </a:solidFill>
              <a:latin typeface="Calibri" pitchFamily="34" charset="0"/>
              <a:ea typeface="+mn-ea"/>
              <a:cs typeface="+mn-cs"/>
            </a:rPr>
            <a:t>379</a:t>
          </a:r>
          <a:r>
            <a:rPr lang="fr-FR" sz="1100" b="0">
              <a:solidFill>
                <a:schemeClr val="bg1"/>
              </a:solidFill>
              <a:latin typeface="Calibri" pitchFamily="34" charset="0"/>
              <a:ea typeface="+mn-ea"/>
              <a:cs typeface="+mn-cs"/>
            </a:rPr>
            <a:t> étudiants (477 en 2019/2020)</a:t>
          </a:r>
        </a:p>
        <a:p>
          <a:pPr algn="r"/>
          <a:endParaRPr lang="fr-FR" sz="1100" b="0">
            <a:solidFill>
              <a:schemeClr val="bg1">
                <a:lumMod val="50000"/>
              </a:schemeClr>
            </a:solidFill>
            <a:latin typeface="Calibri" pitchFamily="34" charset="0"/>
            <a:ea typeface="+mn-ea"/>
            <a:cs typeface="+mn-cs"/>
          </a:endParaRPr>
        </a:p>
        <a:p>
          <a:pPr algn="r"/>
          <a:r>
            <a:rPr lang="fr-FR" sz="1100" b="0">
              <a:solidFill>
                <a:schemeClr val="bg1">
                  <a:lumMod val="50000"/>
                </a:schemeClr>
              </a:solidFill>
              <a:latin typeface="Calibri" pitchFamily="34" charset="0"/>
              <a:ea typeface="+mn-ea"/>
              <a:cs typeface="+mn-cs"/>
            </a:rPr>
            <a:t>1 étudiant peut cumuler plusieurs contrats</a:t>
          </a:r>
        </a:p>
      </xdr:txBody>
    </xdr:sp>
    <xdr:clientData/>
  </xdr:twoCellAnchor>
  <xdr:twoCellAnchor>
    <xdr:from>
      <xdr:col>2</xdr:col>
      <xdr:colOff>295275</xdr:colOff>
      <xdr:row>35</xdr:row>
      <xdr:rowOff>66155</xdr:rowOff>
    </xdr:from>
    <xdr:to>
      <xdr:col>11</xdr:col>
      <xdr:colOff>339090</xdr:colOff>
      <xdr:row>52</xdr:row>
      <xdr:rowOff>45720</xdr:rowOff>
    </xdr:to>
    <xdr:graphicFrame macro="">
      <xdr:nvGraphicFramePr>
        <xdr:cNvPr id="1942751" name="Graphique 2">
          <a:extLst>
            <a:ext uri="{FF2B5EF4-FFF2-40B4-BE49-F238E27FC236}">
              <a16:creationId xmlns:a16="http://schemas.microsoft.com/office/drawing/2014/main" id="{00000000-0008-0000-0E00-0000DFA4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12</xdr:row>
      <xdr:rowOff>180284</xdr:rowOff>
    </xdr:from>
    <xdr:to>
      <xdr:col>9</xdr:col>
      <xdr:colOff>369570</xdr:colOff>
      <xdr:row>28</xdr:row>
      <xdr:rowOff>133350</xdr:rowOff>
    </xdr:to>
    <xdr:graphicFrame macro="">
      <xdr:nvGraphicFramePr>
        <xdr:cNvPr id="1942752" name="Graphique 6">
          <a:extLst>
            <a:ext uri="{FF2B5EF4-FFF2-40B4-BE49-F238E27FC236}">
              <a16:creationId xmlns:a16="http://schemas.microsoft.com/office/drawing/2014/main" id="{00000000-0008-0000-0E00-0000E0A4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171451</xdr:colOff>
      <xdr:row>8</xdr:row>
      <xdr:rowOff>135255</xdr:rowOff>
    </xdr:from>
    <xdr:to>
      <xdr:col>35</xdr:col>
      <xdr:colOff>189866</xdr:colOff>
      <xdr:row>12</xdr:row>
      <xdr:rowOff>238125</xdr:rowOff>
    </xdr:to>
    <xdr:sp macro="" textlink="">
      <xdr:nvSpPr>
        <xdr:cNvPr id="8" name="ZoneTexte 7">
          <a:extLst>
            <a:ext uri="{FF2B5EF4-FFF2-40B4-BE49-F238E27FC236}">
              <a16:creationId xmlns:a16="http://schemas.microsoft.com/office/drawing/2014/main" id="{00000000-0008-0000-0E00-000008000000}"/>
            </a:ext>
          </a:extLst>
        </xdr:cNvPr>
        <xdr:cNvSpPr txBox="1"/>
      </xdr:nvSpPr>
      <xdr:spPr>
        <a:xfrm>
          <a:off x="17554576" y="1878330"/>
          <a:ext cx="2761615" cy="90297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fr-FR" sz="1200" b="0" cap="none" spc="0">
              <a:ln>
                <a:noFill/>
              </a:ln>
              <a:solidFill>
                <a:schemeClr val="bg1">
                  <a:lumMod val="50000"/>
                </a:schemeClr>
              </a:solidFill>
              <a:effectLst/>
              <a:latin typeface="Calibri" pitchFamily="34" charset="0"/>
              <a:ea typeface="+mn-ea"/>
              <a:cs typeface="+mn-cs"/>
            </a:rPr>
            <a:t>La population contractuelle BIATSS est composée de </a:t>
          </a:r>
          <a:r>
            <a:rPr lang="fr-FR" sz="2000" b="0" cap="none" spc="0">
              <a:ln>
                <a:noFill/>
              </a:ln>
              <a:solidFill>
                <a:srgbClr val="00B050"/>
              </a:solidFill>
              <a:effectLst/>
              <a:latin typeface="Calibri" pitchFamily="34" charset="0"/>
              <a:ea typeface="+mn-ea"/>
              <a:cs typeface="+mn-cs"/>
            </a:rPr>
            <a:t>69</a:t>
          </a:r>
          <a:r>
            <a:rPr lang="fr-FR" sz="2000" b="0" cap="none" spc="0">
              <a:ln>
                <a:noFill/>
              </a:ln>
              <a:solidFill>
                <a:schemeClr val="bg1">
                  <a:lumMod val="50000"/>
                </a:schemeClr>
              </a:solidFill>
              <a:effectLst/>
              <a:latin typeface="Calibri" pitchFamily="34" charset="0"/>
              <a:ea typeface="+mn-ea"/>
              <a:cs typeface="+mn-cs"/>
            </a:rPr>
            <a:t>%</a:t>
          </a:r>
          <a:r>
            <a:rPr lang="fr-FR" sz="1200" b="0" cap="none" spc="0">
              <a:ln>
                <a:noFill/>
              </a:ln>
              <a:solidFill>
                <a:schemeClr val="bg1">
                  <a:lumMod val="50000"/>
                </a:schemeClr>
              </a:solidFill>
              <a:effectLst/>
              <a:latin typeface="Calibri" pitchFamily="34" charset="0"/>
              <a:ea typeface="+mn-ea"/>
              <a:cs typeface="+mn-cs"/>
            </a:rPr>
            <a:t> de femmes (72% en 2020, 78% en 2019)</a:t>
          </a:r>
        </a:p>
      </xdr:txBody>
    </xdr:sp>
    <xdr:clientData/>
  </xdr:twoCellAnchor>
  <xdr:twoCellAnchor>
    <xdr:from>
      <xdr:col>0</xdr:col>
      <xdr:colOff>167640</xdr:colOff>
      <xdr:row>66</xdr:row>
      <xdr:rowOff>38099</xdr:rowOff>
    </xdr:from>
    <xdr:to>
      <xdr:col>5</xdr:col>
      <xdr:colOff>624840</xdr:colOff>
      <xdr:row>73</xdr:row>
      <xdr:rowOff>104774</xdr:rowOff>
    </xdr:to>
    <xdr:sp macro="" textlink="">
      <xdr:nvSpPr>
        <xdr:cNvPr id="12" name="ZoneTexte 11">
          <a:extLst>
            <a:ext uri="{FF2B5EF4-FFF2-40B4-BE49-F238E27FC236}">
              <a16:creationId xmlns:a16="http://schemas.microsoft.com/office/drawing/2014/main" id="{00000000-0008-0000-0E00-00000C000000}"/>
            </a:ext>
          </a:extLst>
        </xdr:cNvPr>
        <xdr:cNvSpPr txBox="1"/>
      </xdr:nvSpPr>
      <xdr:spPr>
        <a:xfrm>
          <a:off x="167640" y="11420474"/>
          <a:ext cx="2962275"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2000" b="0">
              <a:solidFill>
                <a:srgbClr val="00B050"/>
              </a:solidFill>
              <a:latin typeface="Calibri" pitchFamily="34" charset="0"/>
              <a:ea typeface="+mn-ea"/>
              <a:cs typeface="+mn-cs"/>
            </a:rPr>
            <a:t>42 159 </a:t>
          </a:r>
          <a:r>
            <a:rPr lang="fr-FR" sz="1100" b="0">
              <a:solidFill>
                <a:schemeClr val="bg1">
                  <a:lumMod val="50000"/>
                </a:schemeClr>
              </a:solidFill>
              <a:latin typeface="Calibri" pitchFamily="34" charset="0"/>
              <a:ea typeface="+mn-ea"/>
              <a:cs typeface="+mn-cs"/>
            </a:rPr>
            <a:t>heures rémunérées sur l'année universitaire 2021/2022</a:t>
          </a:r>
        </a:p>
        <a:p>
          <a:pPr algn="r"/>
          <a:r>
            <a:rPr lang="fr-FR" sz="1100" b="0">
              <a:solidFill>
                <a:schemeClr val="bg1">
                  <a:lumMod val="50000"/>
                </a:schemeClr>
              </a:solidFill>
              <a:latin typeface="Calibri" pitchFamily="34" charset="0"/>
              <a:ea typeface="+mn-ea"/>
              <a:cs typeface="+mn-cs"/>
            </a:rPr>
            <a:t>28 630 en 2020/2021</a:t>
          </a:r>
        </a:p>
        <a:p>
          <a:pPr algn="r"/>
          <a:r>
            <a:rPr lang="fr-FR" sz="1100" b="0">
              <a:solidFill>
                <a:schemeClr val="bg1">
                  <a:lumMod val="50000"/>
                </a:schemeClr>
              </a:solidFill>
              <a:latin typeface="Calibri" pitchFamily="34" charset="0"/>
              <a:ea typeface="+mn-ea"/>
              <a:cs typeface="+mn-cs"/>
            </a:rPr>
            <a:t>28 629 en 2019/2020</a:t>
          </a:r>
        </a:p>
      </xdr:txBody>
    </xdr:sp>
    <xdr:clientData/>
  </xdr:twoCellAnchor>
  <xdr:twoCellAnchor>
    <xdr:from>
      <xdr:col>14</xdr:col>
      <xdr:colOff>381000</xdr:colOff>
      <xdr:row>12</xdr:row>
      <xdr:rowOff>122207</xdr:rowOff>
    </xdr:from>
    <xdr:to>
      <xdr:col>19</xdr:col>
      <xdr:colOff>45720</xdr:colOff>
      <xdr:row>22</xdr:row>
      <xdr:rowOff>76200</xdr:rowOff>
    </xdr:to>
    <xdr:sp macro="" textlink="">
      <xdr:nvSpPr>
        <xdr:cNvPr id="13" name="ZoneTexte 12">
          <a:extLst>
            <a:ext uri="{FF2B5EF4-FFF2-40B4-BE49-F238E27FC236}">
              <a16:creationId xmlns:a16="http://schemas.microsoft.com/office/drawing/2014/main" id="{00000000-0008-0000-0E00-00000D000000}"/>
            </a:ext>
          </a:extLst>
        </xdr:cNvPr>
        <xdr:cNvSpPr txBox="1"/>
      </xdr:nvSpPr>
      <xdr:spPr>
        <a:xfrm>
          <a:off x="7566660" y="4168427"/>
          <a:ext cx="2392680" cy="1165573"/>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r"/>
          <a:r>
            <a:rPr lang="fr-FR" sz="2000" b="0" cap="none" spc="0">
              <a:ln>
                <a:noFill/>
              </a:ln>
              <a:solidFill>
                <a:schemeClr val="bg1">
                  <a:lumMod val="50000"/>
                </a:schemeClr>
              </a:solidFill>
              <a:effectLst/>
              <a:latin typeface="Calibri" pitchFamily="34" charset="0"/>
              <a:ea typeface="+mn-ea"/>
              <a:cs typeface="+mn-cs"/>
            </a:rPr>
            <a:t> </a:t>
          </a:r>
          <a:r>
            <a:rPr lang="fr-FR" sz="2000" b="0" cap="none" spc="0">
              <a:ln>
                <a:noFill/>
              </a:ln>
              <a:solidFill>
                <a:srgbClr val="00B050"/>
              </a:solidFill>
              <a:effectLst/>
              <a:latin typeface="Calibri" pitchFamily="34" charset="0"/>
              <a:ea typeface="+mn-ea"/>
              <a:cs typeface="+mn-cs"/>
            </a:rPr>
            <a:t>22</a:t>
          </a:r>
          <a:r>
            <a:rPr lang="fr-FR" sz="2000" b="0" cap="none" spc="0">
              <a:ln>
                <a:noFill/>
              </a:ln>
              <a:solidFill>
                <a:schemeClr val="bg1">
                  <a:lumMod val="50000"/>
                </a:schemeClr>
              </a:solidFill>
              <a:effectLst/>
              <a:latin typeface="Calibri" pitchFamily="34" charset="0"/>
              <a:ea typeface="+mn-ea"/>
              <a:cs typeface="+mn-cs"/>
            </a:rPr>
            <a:t> </a:t>
          </a:r>
          <a:r>
            <a:rPr lang="fr-FR" sz="1200" b="0" cap="none" spc="0">
              <a:ln>
                <a:noFill/>
              </a:ln>
              <a:solidFill>
                <a:schemeClr val="bg1">
                  <a:lumMod val="50000"/>
                </a:schemeClr>
              </a:solidFill>
              <a:effectLst/>
              <a:latin typeface="Calibri" pitchFamily="34" charset="0"/>
              <a:ea typeface="+mn-ea"/>
              <a:cs typeface="+mn-cs"/>
            </a:rPr>
            <a:t>CDI ont été signés en  2022,</a:t>
          </a:r>
        </a:p>
        <a:p>
          <a:pPr algn="r"/>
          <a:r>
            <a:rPr lang="fr-FR" sz="2000" b="0" cap="none" spc="0">
              <a:ln>
                <a:noFill/>
              </a:ln>
              <a:solidFill>
                <a:schemeClr val="bg1">
                  <a:lumMod val="50000"/>
                </a:schemeClr>
              </a:solidFill>
              <a:effectLst/>
              <a:latin typeface="Calibri" pitchFamily="34" charset="0"/>
              <a:ea typeface="+mn-ea"/>
              <a:cs typeface="+mn-cs"/>
            </a:rPr>
            <a:t>24</a:t>
          </a:r>
          <a:r>
            <a:rPr lang="fr-FR" sz="2000" b="0" cap="none" spc="0">
              <a:ln>
                <a:noFill/>
              </a:ln>
              <a:solidFill>
                <a:srgbClr val="FF0000"/>
              </a:solidFill>
              <a:effectLst/>
              <a:latin typeface="Calibri" pitchFamily="34" charset="0"/>
              <a:ea typeface="+mn-ea"/>
              <a:cs typeface="+mn-cs"/>
            </a:rPr>
            <a:t> </a:t>
          </a:r>
          <a:r>
            <a:rPr lang="fr-FR" sz="1200" b="0" cap="none" spc="0">
              <a:ln>
                <a:noFill/>
              </a:ln>
              <a:solidFill>
                <a:schemeClr val="bg1">
                  <a:lumMod val="50000"/>
                </a:schemeClr>
              </a:solidFill>
              <a:effectLst/>
              <a:latin typeface="Calibri" pitchFamily="34" charset="0"/>
              <a:ea typeface="+mn-ea"/>
              <a:cs typeface="+mn-cs"/>
            </a:rPr>
            <a:t>en</a:t>
          </a:r>
          <a:r>
            <a:rPr lang="fr-FR" sz="1100" b="0" baseline="0">
              <a:solidFill>
                <a:schemeClr val="bg1">
                  <a:lumMod val="50000"/>
                </a:schemeClr>
              </a:solidFill>
              <a:effectLst/>
              <a:latin typeface="+mn-lt"/>
              <a:ea typeface="+mn-ea"/>
              <a:cs typeface="+mn-cs"/>
            </a:rPr>
            <a:t> </a:t>
          </a:r>
          <a:r>
            <a:rPr lang="fr-FR" sz="1200" b="0" cap="none" spc="0">
              <a:ln>
                <a:noFill/>
              </a:ln>
              <a:solidFill>
                <a:schemeClr val="bg1">
                  <a:lumMod val="50000"/>
                </a:schemeClr>
              </a:solidFill>
              <a:effectLst/>
              <a:latin typeface="Calibri" pitchFamily="34" charset="0"/>
              <a:ea typeface="+mn-ea"/>
              <a:cs typeface="+mn-cs"/>
            </a:rPr>
            <a:t>2021,</a:t>
          </a:r>
        </a:p>
        <a:p>
          <a:pPr algn="r"/>
          <a:r>
            <a:rPr lang="fr-FR" sz="2000" b="0" cap="none" spc="0">
              <a:ln>
                <a:noFill/>
              </a:ln>
              <a:solidFill>
                <a:schemeClr val="bg1">
                  <a:lumMod val="50000"/>
                </a:schemeClr>
              </a:solidFill>
              <a:effectLst/>
              <a:latin typeface="Calibri" pitchFamily="34" charset="0"/>
              <a:ea typeface="+mn-ea"/>
              <a:cs typeface="+mn-cs"/>
            </a:rPr>
            <a:t>20</a:t>
          </a:r>
          <a:r>
            <a:rPr lang="fr-FR" sz="1200" b="0" cap="none" spc="0">
              <a:ln>
                <a:noFill/>
              </a:ln>
              <a:solidFill>
                <a:schemeClr val="bg1">
                  <a:lumMod val="50000"/>
                </a:schemeClr>
              </a:solidFill>
              <a:effectLst/>
              <a:latin typeface="Calibri" pitchFamily="34" charset="0"/>
              <a:ea typeface="+mn-ea"/>
              <a:cs typeface="+mn-cs"/>
            </a:rPr>
            <a:t> en</a:t>
          </a:r>
          <a:r>
            <a:rPr lang="fr-FR" sz="1200" b="0" cap="none" spc="0" baseline="0">
              <a:ln>
                <a:noFill/>
              </a:ln>
              <a:solidFill>
                <a:schemeClr val="bg1">
                  <a:lumMod val="50000"/>
                </a:schemeClr>
              </a:solidFill>
              <a:effectLst/>
              <a:latin typeface="Calibri" pitchFamily="34" charset="0"/>
              <a:ea typeface="+mn-ea"/>
              <a:cs typeface="+mn-cs"/>
            </a:rPr>
            <a:t> 2020.</a:t>
          </a:r>
          <a:r>
            <a:rPr lang="fr-FR" sz="1200" b="0" cap="none" spc="0">
              <a:ln>
                <a:noFill/>
              </a:ln>
              <a:solidFill>
                <a:schemeClr val="bg1">
                  <a:lumMod val="50000"/>
                </a:schemeClr>
              </a:solidFill>
              <a:effectLst/>
              <a:latin typeface="Calibri" pitchFamily="34" charset="0"/>
              <a:ea typeface="+mn-ea"/>
              <a:cs typeface="+mn-cs"/>
            </a:rPr>
            <a:t>   </a:t>
          </a:r>
        </a:p>
        <a:p>
          <a:pPr algn="r">
            <a:lnSpc>
              <a:spcPts val="2100"/>
            </a:lnSpc>
          </a:pPr>
          <a:endParaRPr lang="fr-FR" sz="1200" b="0" cap="none" spc="0">
            <a:ln>
              <a:noFill/>
            </a:ln>
            <a:solidFill>
              <a:schemeClr val="bg1">
                <a:lumMod val="50000"/>
              </a:schemeClr>
            </a:solidFill>
            <a:effectLst/>
            <a:latin typeface="Calibri" pitchFamily="34" charset="0"/>
            <a:ea typeface="+mn-ea"/>
            <a:cs typeface="+mn-cs"/>
          </a:endParaRPr>
        </a:p>
      </xdr:txBody>
    </xdr:sp>
    <xdr:clientData/>
  </xdr:twoCellAnchor>
  <xdr:twoCellAnchor>
    <xdr:from>
      <xdr:col>31</xdr:col>
      <xdr:colOff>213358</xdr:colOff>
      <xdr:row>4</xdr:row>
      <xdr:rowOff>30480</xdr:rowOff>
    </xdr:from>
    <xdr:to>
      <xdr:col>34</xdr:col>
      <xdr:colOff>333375</xdr:colOff>
      <xdr:row>8</xdr:row>
      <xdr:rowOff>57150</xdr:rowOff>
    </xdr:to>
    <xdr:sp macro="" textlink="">
      <xdr:nvSpPr>
        <xdr:cNvPr id="2" name="ZoneTexte 1">
          <a:extLst>
            <a:ext uri="{FF2B5EF4-FFF2-40B4-BE49-F238E27FC236}">
              <a16:creationId xmlns:a16="http://schemas.microsoft.com/office/drawing/2014/main" id="{00000000-0008-0000-0E00-000002000000}"/>
            </a:ext>
          </a:extLst>
        </xdr:cNvPr>
        <xdr:cNvSpPr txBox="1"/>
      </xdr:nvSpPr>
      <xdr:spPr>
        <a:xfrm>
          <a:off x="17596483" y="906780"/>
          <a:ext cx="2177417" cy="893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strike="noStrike" baseline="0">
              <a:solidFill>
                <a:schemeClr val="bg1">
                  <a:lumMod val="50000"/>
                </a:schemeClr>
              </a:solidFill>
              <a:latin typeface="Calibri" panose="020F0502020204030204" pitchFamily="34" charset="0"/>
            </a:rPr>
            <a:t>Hors CDD TH qui ont vocation à être titularisés à l'issue du contrat d'une durée d'un an, dans le cadre du recrutement des personnels reconnus travailleurs handicapés.</a:t>
          </a:r>
        </a:p>
        <a:p>
          <a:r>
            <a:rPr lang="fr-FR" sz="800" strike="noStrike" baseline="0">
              <a:solidFill>
                <a:schemeClr val="bg1">
                  <a:lumMod val="50000"/>
                </a:schemeClr>
              </a:solidFill>
              <a:latin typeface="Calibri" panose="020F0502020204030204" pitchFamily="34" charset="0"/>
            </a:rPr>
            <a:t>(</a:t>
          </a:r>
          <a:r>
            <a:rPr lang="fr-FR" sz="800" strike="noStrike" baseline="0">
              <a:solidFill>
                <a:srgbClr val="00B050"/>
              </a:solidFill>
              <a:latin typeface="Calibri" panose="020F0502020204030204" pitchFamily="34" charset="0"/>
            </a:rPr>
            <a:t>1</a:t>
          </a:r>
          <a:r>
            <a:rPr lang="fr-FR" sz="800" strike="noStrike" baseline="0">
              <a:solidFill>
                <a:schemeClr val="bg1">
                  <a:lumMod val="50000"/>
                </a:schemeClr>
              </a:solidFill>
              <a:latin typeface="Calibri" panose="020F0502020204030204" pitchFamily="34" charset="0"/>
            </a:rPr>
            <a:t> au 31/12/21)</a:t>
          </a:r>
        </a:p>
      </xdr:txBody>
    </xdr:sp>
    <xdr:clientData/>
  </xdr:twoCellAnchor>
  <xdr:twoCellAnchor>
    <xdr:from>
      <xdr:col>6</xdr:col>
      <xdr:colOff>156729</xdr:colOff>
      <xdr:row>58</xdr:row>
      <xdr:rowOff>0</xdr:rowOff>
    </xdr:from>
    <xdr:to>
      <xdr:col>16</xdr:col>
      <xdr:colOff>112741</xdr:colOff>
      <xdr:row>72</xdr:row>
      <xdr:rowOff>113781</xdr:rowOff>
    </xdr:to>
    <xdr:graphicFrame macro="">
      <xdr:nvGraphicFramePr>
        <xdr:cNvPr id="15" name="Graphique 2">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140970</xdr:colOff>
      <xdr:row>1</xdr:row>
      <xdr:rowOff>53340</xdr:rowOff>
    </xdr:from>
    <xdr:to>
      <xdr:col>20</xdr:col>
      <xdr:colOff>274202</xdr:colOff>
      <xdr:row>20</xdr:row>
      <xdr:rowOff>171450</xdr:rowOff>
    </xdr:to>
    <xdr:sp macro="" textlink="">
      <xdr:nvSpPr>
        <xdr:cNvPr id="18" name="ZoneTexte 17">
          <a:extLst>
            <a:ext uri="{FF2B5EF4-FFF2-40B4-BE49-F238E27FC236}">
              <a16:creationId xmlns:a16="http://schemas.microsoft.com/office/drawing/2014/main" id="{00000000-0008-0000-0F00-000012000000}"/>
            </a:ext>
          </a:extLst>
        </xdr:cNvPr>
        <xdr:cNvSpPr txBox="1"/>
      </xdr:nvSpPr>
      <xdr:spPr>
        <a:xfrm>
          <a:off x="6170295" y="320040"/>
          <a:ext cx="1876307" cy="3223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200" b="0">
              <a:solidFill>
                <a:schemeClr val="bg1">
                  <a:lumMod val="50000"/>
                </a:schemeClr>
              </a:solidFill>
              <a:latin typeface="Calibri" pitchFamily="34" charset="0"/>
              <a:ea typeface="+mn-ea"/>
              <a:cs typeface="+mn-cs"/>
            </a:rPr>
            <a:t>Taux de promotion (par listes d'aptitude</a:t>
          </a:r>
          <a:r>
            <a:rPr lang="fr-FR" sz="1200" b="0" baseline="0">
              <a:solidFill>
                <a:schemeClr val="bg1">
                  <a:lumMod val="50000"/>
                </a:schemeClr>
              </a:solidFill>
              <a:latin typeface="Calibri" pitchFamily="34" charset="0"/>
              <a:ea typeface="+mn-ea"/>
              <a:cs typeface="+mn-cs"/>
            </a:rPr>
            <a:t> et tableaux d'avancement)</a:t>
          </a:r>
          <a:r>
            <a:rPr lang="fr-FR" sz="1200" b="0">
              <a:solidFill>
                <a:schemeClr val="bg1">
                  <a:lumMod val="50000"/>
                </a:schemeClr>
              </a:solidFill>
              <a:latin typeface="Calibri" pitchFamily="34" charset="0"/>
              <a:ea typeface="+mn-ea"/>
              <a:cs typeface="+mn-cs"/>
            </a:rPr>
            <a:t> sur 5 années</a:t>
          </a:r>
        </a:p>
        <a:p>
          <a:pPr algn="r"/>
          <a:r>
            <a:rPr lang="fr-FR" sz="900" b="0">
              <a:solidFill>
                <a:schemeClr val="bg1">
                  <a:lumMod val="50000"/>
                </a:schemeClr>
              </a:solidFill>
              <a:latin typeface="Calibri" pitchFamily="34" charset="0"/>
              <a:ea typeface="+mn-ea"/>
              <a:cs typeface="+mn-cs"/>
            </a:rPr>
            <a:t>(Nb promus/Nb total promouvables BIATSS)</a:t>
          </a:r>
        </a:p>
        <a:p>
          <a:pPr algn="r"/>
          <a:endParaRPr lang="fr-FR" sz="9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2400" b="0">
              <a:solidFill>
                <a:schemeClr val="bg1">
                  <a:lumMod val="50000"/>
                </a:schemeClr>
              </a:solidFill>
              <a:latin typeface="Calibri" pitchFamily="34" charset="0"/>
              <a:ea typeface="+mn-ea"/>
              <a:cs typeface="+mn-cs"/>
            </a:rPr>
            <a:t>4% </a:t>
          </a:r>
          <a:r>
            <a:rPr lang="fr-FR" sz="1400" b="0">
              <a:solidFill>
                <a:schemeClr val="bg1">
                  <a:lumMod val="50000"/>
                </a:schemeClr>
              </a:solidFill>
              <a:latin typeface="Calibri" pitchFamily="34" charset="0"/>
              <a:ea typeface="+mn-ea"/>
              <a:cs typeface="+mn-cs"/>
            </a:rPr>
            <a:t>en 2018</a:t>
          </a:r>
          <a:endParaRPr lang="fr-FR" sz="24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2400" b="0">
              <a:solidFill>
                <a:schemeClr val="bg1">
                  <a:lumMod val="50000"/>
                </a:schemeClr>
              </a:solidFill>
              <a:latin typeface="Calibri" pitchFamily="34" charset="0"/>
              <a:ea typeface="+mn-ea"/>
              <a:cs typeface="+mn-cs"/>
            </a:rPr>
            <a:t>4% </a:t>
          </a:r>
          <a:r>
            <a:rPr lang="fr-FR" sz="1400" b="0">
              <a:solidFill>
                <a:schemeClr val="bg1">
                  <a:lumMod val="50000"/>
                </a:schemeClr>
              </a:solidFill>
              <a:latin typeface="Calibri" pitchFamily="34" charset="0"/>
              <a:ea typeface="+mn-ea"/>
              <a:cs typeface="+mn-cs"/>
            </a:rPr>
            <a:t>en 2019</a:t>
          </a:r>
          <a:endParaRPr lang="fr-FR" sz="24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2400" b="0">
              <a:solidFill>
                <a:schemeClr val="bg1">
                  <a:lumMod val="50000"/>
                </a:schemeClr>
              </a:solidFill>
              <a:latin typeface="Calibri" pitchFamily="34" charset="0"/>
              <a:ea typeface="+mn-ea"/>
              <a:cs typeface="+mn-cs"/>
            </a:rPr>
            <a:t>3% </a:t>
          </a:r>
          <a:r>
            <a:rPr lang="fr-FR" sz="1400" b="0">
              <a:solidFill>
                <a:schemeClr val="bg1">
                  <a:lumMod val="50000"/>
                </a:schemeClr>
              </a:solidFill>
              <a:latin typeface="Calibri" pitchFamily="34" charset="0"/>
              <a:ea typeface="+mn-ea"/>
              <a:cs typeface="+mn-cs"/>
            </a:rPr>
            <a:t>en 2020</a:t>
          </a:r>
          <a:endParaRPr lang="fr-FR" sz="24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2400" b="0">
              <a:solidFill>
                <a:schemeClr val="bg1">
                  <a:lumMod val="50000"/>
                </a:schemeClr>
              </a:solidFill>
              <a:latin typeface="Calibri" pitchFamily="34" charset="0"/>
              <a:ea typeface="+mn-ea"/>
              <a:cs typeface="+mn-cs"/>
            </a:rPr>
            <a:t>4% </a:t>
          </a:r>
          <a:r>
            <a:rPr lang="fr-FR" sz="1200" b="0">
              <a:solidFill>
                <a:schemeClr val="bg1">
                  <a:lumMod val="50000"/>
                </a:schemeClr>
              </a:solidFill>
              <a:latin typeface="Calibri" pitchFamily="34" charset="0"/>
              <a:ea typeface="+mn-ea"/>
              <a:cs typeface="+mn-cs"/>
            </a:rPr>
            <a:t>en</a:t>
          </a:r>
          <a:r>
            <a:rPr lang="fr-FR" sz="24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2021</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2400" b="0" i="0" u="none" strike="noStrike" kern="0" cap="none" spc="0" normalizeH="0" baseline="0" noProof="0">
              <a:ln>
                <a:noFill/>
              </a:ln>
              <a:solidFill>
                <a:srgbClr val="00B050"/>
              </a:solidFill>
              <a:effectLst/>
              <a:uLnTx/>
              <a:uFillTx/>
              <a:latin typeface="Calibri" pitchFamily="34" charset="0"/>
              <a:ea typeface="+mn-ea"/>
              <a:cs typeface="+mn-cs"/>
            </a:rPr>
            <a:t>6</a:t>
          </a:r>
          <a:r>
            <a:rPr kumimoji="0" lang="fr-FR" sz="2400" b="0" i="0" u="none" strike="noStrike" kern="0" cap="none" spc="0" normalizeH="0" baseline="0" noProof="0">
              <a:ln>
                <a:noFill/>
              </a:ln>
              <a:solidFill>
                <a:prstClr val="white">
                  <a:lumMod val="50000"/>
                </a:prstClr>
              </a:solidFill>
              <a:effectLst/>
              <a:uLnTx/>
              <a:uFillTx/>
              <a:latin typeface="Calibri" pitchFamily="34" charset="0"/>
              <a:ea typeface="+mn-ea"/>
              <a:cs typeface="+mn-cs"/>
            </a:rPr>
            <a:t>% </a:t>
          </a:r>
          <a:r>
            <a:rPr kumimoji="0" lang="fr-FR" sz="1200" b="0" i="0" u="none" strike="noStrike" kern="0" cap="none" spc="0" normalizeH="0" baseline="0" noProof="0">
              <a:ln>
                <a:noFill/>
              </a:ln>
              <a:solidFill>
                <a:prstClr val="white">
                  <a:lumMod val="50000"/>
                </a:prstClr>
              </a:solidFill>
              <a:effectLst/>
              <a:uLnTx/>
              <a:uFillTx/>
              <a:latin typeface="Calibri" pitchFamily="34" charset="0"/>
              <a:ea typeface="+mn-ea"/>
              <a:cs typeface="+mn-cs"/>
            </a:rPr>
            <a:t>en</a:t>
          </a:r>
          <a:r>
            <a:rPr kumimoji="0" lang="fr-FR" sz="2400" b="0" i="0" u="none" strike="noStrike" kern="0" cap="none" spc="0" normalizeH="0" baseline="0" noProof="0">
              <a:ln>
                <a:noFill/>
              </a:ln>
              <a:solidFill>
                <a:prstClr val="white">
                  <a:lumMod val="50000"/>
                </a:prstClr>
              </a:solidFill>
              <a:effectLst/>
              <a:uLnTx/>
              <a:uFillTx/>
              <a:latin typeface="Calibri" pitchFamily="34" charset="0"/>
              <a:ea typeface="+mn-ea"/>
              <a:cs typeface="+mn-cs"/>
            </a:rPr>
            <a:t> </a:t>
          </a:r>
          <a:r>
            <a:rPr kumimoji="0" lang="fr-FR" sz="1200" b="0" i="0" u="none" strike="noStrike" kern="0" cap="none" spc="0" normalizeH="0" baseline="0" noProof="0">
              <a:ln>
                <a:noFill/>
              </a:ln>
              <a:solidFill>
                <a:prstClr val="white">
                  <a:lumMod val="50000"/>
                </a:prstClr>
              </a:solidFill>
              <a:effectLst/>
              <a:uLnTx/>
              <a:uFillTx/>
              <a:latin typeface="Calibri" pitchFamily="34" charset="0"/>
              <a:ea typeface="+mn-ea"/>
              <a:cs typeface="+mn-cs"/>
            </a:rPr>
            <a:t>2022</a:t>
          </a:r>
          <a:endParaRPr kumimoji="0" lang="fr-FR" sz="2400" b="0" i="0" u="none" strike="noStrike" kern="0" cap="none" spc="0" normalizeH="0" baseline="0" noProof="0">
            <a:ln>
              <a:noFill/>
            </a:ln>
            <a:solidFill>
              <a:prstClr val="white">
                <a:lumMod val="50000"/>
              </a:prstClr>
            </a:solidFill>
            <a:effectLst/>
            <a:uLnTx/>
            <a:uFillTx/>
            <a:latin typeface="Calibri" pitchFamily="34" charset="0"/>
            <a:ea typeface="+mn-ea"/>
            <a:cs typeface="+mn-cs"/>
          </a:endParaRPr>
        </a:p>
      </xdr:txBody>
    </xdr:sp>
    <xdr:clientData/>
  </xdr:twoCellAnchor>
  <xdr:twoCellAnchor>
    <xdr:from>
      <xdr:col>15</xdr:col>
      <xdr:colOff>137160</xdr:colOff>
      <xdr:row>27</xdr:row>
      <xdr:rowOff>81914</xdr:rowOff>
    </xdr:from>
    <xdr:to>
      <xdr:col>22</xdr:col>
      <xdr:colOff>114300</xdr:colOff>
      <xdr:row>29</xdr:row>
      <xdr:rowOff>184785</xdr:rowOff>
    </xdr:to>
    <xdr:sp macro="" textlink="">
      <xdr:nvSpPr>
        <xdr:cNvPr id="8" name="ZoneTexte 7">
          <a:extLst>
            <a:ext uri="{FF2B5EF4-FFF2-40B4-BE49-F238E27FC236}">
              <a16:creationId xmlns:a16="http://schemas.microsoft.com/office/drawing/2014/main" id="{00000000-0008-0000-0F00-000008000000}"/>
            </a:ext>
          </a:extLst>
        </xdr:cNvPr>
        <xdr:cNvSpPr txBox="1"/>
      </xdr:nvSpPr>
      <xdr:spPr>
        <a:xfrm>
          <a:off x="6052185" y="4749164"/>
          <a:ext cx="2482215" cy="4648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0">
              <a:solidFill>
                <a:schemeClr val="bg1">
                  <a:lumMod val="50000"/>
                </a:schemeClr>
              </a:solidFill>
              <a:latin typeface="Calibri" pitchFamily="34" charset="0"/>
              <a:ea typeface="+mn-ea"/>
              <a:cs typeface="+mn-cs"/>
            </a:rPr>
            <a:t>LA : liste d'aptitude  - TA : tableau d'avancement - TAEP : tableau d'avancement avec examen professionnel </a:t>
          </a:r>
        </a:p>
      </xdr:txBody>
    </xdr:sp>
    <xdr:clientData/>
  </xdr:twoCellAnchor>
  <xdr:twoCellAnchor>
    <xdr:from>
      <xdr:col>15</xdr:col>
      <xdr:colOff>64770</xdr:colOff>
      <xdr:row>21</xdr:row>
      <xdr:rowOff>89216</xdr:rowOff>
    </xdr:from>
    <xdr:to>
      <xdr:col>21</xdr:col>
      <xdr:colOff>270510</xdr:colOff>
      <xdr:row>27</xdr:row>
      <xdr:rowOff>85725</xdr:rowOff>
    </xdr:to>
    <xdr:sp macro="" textlink="">
      <xdr:nvSpPr>
        <xdr:cNvPr id="9" name="ZoneTexte 8">
          <a:extLst>
            <a:ext uri="{FF2B5EF4-FFF2-40B4-BE49-F238E27FC236}">
              <a16:creationId xmlns:a16="http://schemas.microsoft.com/office/drawing/2014/main" id="{00000000-0008-0000-0F00-000009000000}"/>
            </a:ext>
          </a:extLst>
        </xdr:cNvPr>
        <xdr:cNvSpPr txBox="1"/>
      </xdr:nvSpPr>
      <xdr:spPr>
        <a:xfrm>
          <a:off x="5979795" y="3670616"/>
          <a:ext cx="2425065" cy="10823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fr-FR" sz="800" b="0">
              <a:solidFill>
                <a:schemeClr val="bg1">
                  <a:lumMod val="50000"/>
                </a:schemeClr>
              </a:solidFill>
              <a:latin typeface="Calibri" pitchFamily="34" charset="0"/>
              <a:ea typeface="+mn-ea"/>
              <a:cs typeface="+mn-cs"/>
            </a:rPr>
            <a:t>Les promotions sont accordées par le Ministère ou le Rectorat (après avis des CAPN</a:t>
          </a:r>
          <a:r>
            <a:rPr lang="fr-FR" sz="800" b="0" baseline="0">
              <a:solidFill>
                <a:schemeClr val="bg1">
                  <a:lumMod val="50000"/>
                </a:schemeClr>
              </a:solidFill>
              <a:latin typeface="Calibri" pitchFamily="34" charset="0"/>
              <a:ea typeface="+mn-ea"/>
              <a:cs typeface="+mn-cs"/>
            </a:rPr>
            <a:t> - Commission Administrative Paritaire Nationale - et CAPA - Commission Administrative Paritaire Académique -) </a:t>
          </a:r>
          <a:r>
            <a:rPr lang="fr-FR" sz="800" b="0">
              <a:solidFill>
                <a:schemeClr val="bg1">
                  <a:lumMod val="50000"/>
                </a:schemeClr>
              </a:solidFill>
              <a:latin typeface="Calibri" pitchFamily="34" charset="0"/>
              <a:ea typeface="+mn-ea"/>
              <a:cs typeface="+mn-cs"/>
            </a:rPr>
            <a:t>sur proposition de la Commission Paritaire d'Etablissement qui établit un classement</a:t>
          </a:r>
          <a:r>
            <a:rPr lang="fr-FR" sz="800" b="0" baseline="0">
              <a:solidFill>
                <a:schemeClr val="bg1">
                  <a:lumMod val="50000"/>
                </a:schemeClr>
              </a:solidFill>
              <a:latin typeface="Calibri" pitchFamily="34" charset="0"/>
              <a:ea typeface="+mn-ea"/>
              <a:cs typeface="+mn-cs"/>
            </a:rPr>
            <a:t> en fonction des dossiers.</a:t>
          </a:r>
          <a:r>
            <a:rPr lang="fr-FR" sz="800" b="0">
              <a:solidFill>
                <a:schemeClr val="bg1">
                  <a:lumMod val="50000"/>
                </a:schemeClr>
              </a:solidFill>
              <a:latin typeface="Calibri" pitchFamily="34" charset="0"/>
              <a:ea typeface="+mn-ea"/>
              <a:cs typeface="+mn-cs"/>
            </a:rPr>
            <a:t> </a:t>
          </a:r>
        </a:p>
      </xdr:txBody>
    </xdr:sp>
    <xdr:clientData/>
  </xdr:twoCellAnchor>
  <xdr:twoCellAnchor>
    <xdr:from>
      <xdr:col>15</xdr:col>
      <xdr:colOff>351790</xdr:colOff>
      <xdr:row>33</xdr:row>
      <xdr:rowOff>24765</xdr:rowOff>
    </xdr:from>
    <xdr:to>
      <xdr:col>24</xdr:col>
      <xdr:colOff>333375</xdr:colOff>
      <xdr:row>40</xdr:row>
      <xdr:rowOff>38100</xdr:rowOff>
    </xdr:to>
    <xdr:sp macro="" textlink="">
      <xdr:nvSpPr>
        <xdr:cNvPr id="2" name="ZoneTexte 1">
          <a:extLst>
            <a:ext uri="{FF2B5EF4-FFF2-40B4-BE49-F238E27FC236}">
              <a16:creationId xmlns:a16="http://schemas.microsoft.com/office/drawing/2014/main" id="{00000000-0008-0000-0F00-000002000000}"/>
            </a:ext>
          </a:extLst>
        </xdr:cNvPr>
        <xdr:cNvSpPr txBox="1"/>
      </xdr:nvSpPr>
      <xdr:spPr>
        <a:xfrm>
          <a:off x="6381115" y="5596890"/>
          <a:ext cx="2858135" cy="1308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b="0">
              <a:solidFill>
                <a:schemeClr val="bg1">
                  <a:lumMod val="50000"/>
                </a:schemeClr>
              </a:solidFill>
              <a:latin typeface="Calibri" pitchFamily="34" charset="0"/>
              <a:ea typeface="+mn-ea"/>
              <a:cs typeface="+mn-cs"/>
            </a:rPr>
            <a:t>Nb promus/nb agents promouvables sur 2022</a:t>
          </a:r>
        </a:p>
        <a:p>
          <a:endParaRPr lang="fr-FR" sz="1000">
            <a:solidFill>
              <a:schemeClr val="bg1">
                <a:lumMod val="50000"/>
              </a:schemeClr>
            </a:solidFill>
          </a:endParaRPr>
        </a:p>
        <a:p>
          <a:pPr marL="0" indent="0" algn="l"/>
          <a:r>
            <a:rPr lang="fr-FR" sz="1000" b="0">
              <a:solidFill>
                <a:srgbClr val="00B050"/>
              </a:solidFill>
              <a:latin typeface="Calibri" pitchFamily="34" charset="0"/>
              <a:ea typeface="+mn-ea"/>
              <a:cs typeface="+mn-cs"/>
            </a:rPr>
            <a:t>16</a:t>
          </a:r>
          <a:r>
            <a:rPr lang="fr-FR" sz="1000" b="0">
              <a:solidFill>
                <a:schemeClr val="bg1">
                  <a:lumMod val="50000"/>
                </a:schemeClr>
              </a:solidFill>
              <a:latin typeface="Calibri" pitchFamily="34" charset="0"/>
              <a:ea typeface="+mn-ea"/>
              <a:cs typeface="+mn-cs"/>
            </a:rPr>
            <a:t>% des agents promouvables a obtenu une promotion de grade (tableau d'avancement)</a:t>
          </a:r>
        </a:p>
        <a:p>
          <a:pPr marL="0" indent="0" algn="l"/>
          <a:r>
            <a:rPr lang="fr-FR" sz="1000" b="0">
              <a:solidFill>
                <a:schemeClr val="bg1">
                  <a:lumMod val="50000"/>
                </a:schemeClr>
              </a:solidFill>
              <a:latin typeface="Calibri" pitchFamily="34" charset="0"/>
              <a:ea typeface="+mn-ea"/>
              <a:cs typeface="+mn-cs"/>
            </a:rPr>
            <a:t> 	</a:t>
          </a:r>
          <a:endParaRPr lang="fr-FR" sz="1000" baseline="0">
            <a:solidFill>
              <a:schemeClr val="bg1">
                <a:lumMod val="50000"/>
              </a:schemeClr>
            </a:solidFill>
          </a:endParaRPr>
        </a:p>
        <a:p>
          <a:pPr marL="0" indent="0" algn="l"/>
          <a:r>
            <a:rPr lang="fr-FR" sz="1000" b="0">
              <a:solidFill>
                <a:srgbClr val="00B050"/>
              </a:solidFill>
              <a:latin typeface="Calibri" pitchFamily="34" charset="0"/>
              <a:ea typeface="+mn-ea"/>
              <a:cs typeface="+mn-cs"/>
            </a:rPr>
            <a:t>1</a:t>
          </a:r>
          <a:r>
            <a:rPr lang="fr-FR" sz="1000" b="0">
              <a:solidFill>
                <a:schemeClr val="bg1">
                  <a:lumMod val="50000"/>
                </a:schemeClr>
              </a:solidFill>
              <a:latin typeface="Calibri" pitchFamily="34" charset="0"/>
              <a:ea typeface="+mn-ea"/>
              <a:cs typeface="+mn-cs"/>
            </a:rPr>
            <a:t>% d'agents promouvables a obtenu une promotion de corps (liste d'aptitude)</a:t>
          </a:r>
        </a:p>
        <a:p>
          <a:pPr marL="0" indent="0" algn="l"/>
          <a:endParaRPr lang="fr-FR" sz="1000" b="0">
            <a:solidFill>
              <a:schemeClr val="bg1">
                <a:lumMod val="50000"/>
              </a:schemeClr>
            </a:solidFill>
            <a:latin typeface="Calibri" pitchFamily="34" charset="0"/>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1906</xdr:colOff>
      <xdr:row>32</xdr:row>
      <xdr:rowOff>102870</xdr:rowOff>
    </xdr:from>
    <xdr:to>
      <xdr:col>18</xdr:col>
      <xdr:colOff>0</xdr:colOff>
      <xdr:row>35</xdr:row>
      <xdr:rowOff>66676</xdr:rowOff>
    </xdr:to>
    <xdr:sp macro="" textlink="">
      <xdr:nvSpPr>
        <xdr:cNvPr id="2" name="ZoneTexte 1">
          <a:extLst>
            <a:ext uri="{FF2B5EF4-FFF2-40B4-BE49-F238E27FC236}">
              <a16:creationId xmlns:a16="http://schemas.microsoft.com/office/drawing/2014/main" id="{00000000-0008-0000-1000-000002000000}"/>
            </a:ext>
          </a:extLst>
        </xdr:cNvPr>
        <xdr:cNvSpPr txBox="1"/>
      </xdr:nvSpPr>
      <xdr:spPr>
        <a:xfrm>
          <a:off x="173356" y="6046470"/>
          <a:ext cx="9561194" cy="4591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chemeClr val="bg1">
                  <a:lumMod val="50000"/>
                </a:schemeClr>
              </a:solidFill>
              <a:latin typeface="Calibri" panose="020F0502020204030204" pitchFamily="34" charset="0"/>
            </a:rPr>
            <a:t>Les postes ne sont pas toujours pourvus immédiatement après la vacance du fait des ouvertures aux concours. Dans l'attente de la nomination de personnels titulaires,</a:t>
          </a:r>
          <a:r>
            <a:rPr lang="fr-FR" sz="1000" baseline="0">
              <a:solidFill>
                <a:schemeClr val="bg1">
                  <a:lumMod val="50000"/>
                </a:schemeClr>
              </a:solidFill>
              <a:latin typeface="Calibri" panose="020F0502020204030204" pitchFamily="34" charset="0"/>
            </a:rPr>
            <a:t> ces postes sont occupés par des agents contractuels.</a:t>
          </a:r>
          <a:endParaRPr lang="fr-FR" sz="1000">
            <a:solidFill>
              <a:schemeClr val="bg1">
                <a:lumMod val="50000"/>
              </a:schemeClr>
            </a:solidFill>
            <a:latin typeface="Calibri" panose="020F0502020204030204" pitchFamily="34" charset="0"/>
          </a:endParaRPr>
        </a:p>
      </xdr:txBody>
    </xdr:sp>
    <xdr:clientData/>
  </xdr:twoCellAnchor>
  <xdr:twoCellAnchor>
    <xdr:from>
      <xdr:col>9</xdr:col>
      <xdr:colOff>419100</xdr:colOff>
      <xdr:row>0</xdr:row>
      <xdr:rowOff>53340</xdr:rowOff>
    </xdr:from>
    <xdr:to>
      <xdr:col>20</xdr:col>
      <xdr:colOff>561975</xdr:colOff>
      <xdr:row>7</xdr:row>
      <xdr:rowOff>133350</xdr:rowOff>
    </xdr:to>
    <xdr:sp macro="" textlink="">
      <xdr:nvSpPr>
        <xdr:cNvPr id="5" name="ZoneTexte 4">
          <a:extLst>
            <a:ext uri="{FF2B5EF4-FFF2-40B4-BE49-F238E27FC236}">
              <a16:creationId xmlns:a16="http://schemas.microsoft.com/office/drawing/2014/main" id="{00000000-0008-0000-1000-000005000000}"/>
            </a:ext>
          </a:extLst>
        </xdr:cNvPr>
        <xdr:cNvSpPr txBox="1"/>
      </xdr:nvSpPr>
      <xdr:spPr>
        <a:xfrm>
          <a:off x="5724525" y="53340"/>
          <a:ext cx="5734050" cy="1156335"/>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900"/>
            </a:lnSpc>
          </a:pPr>
          <a:endParaRPr lang="fr-FR" sz="1400">
            <a:solidFill>
              <a:schemeClr val="bg1">
                <a:lumMod val="50000"/>
              </a:schemeClr>
            </a:solidFill>
            <a:latin typeface="Calibri" pitchFamily="34" charset="0"/>
            <a:ea typeface="+mn-ea"/>
            <a:cs typeface="+mn-cs"/>
          </a:endParaRPr>
        </a:p>
        <a:p>
          <a:pPr algn="r">
            <a:lnSpc>
              <a:spcPts val="900"/>
            </a:lnSpc>
          </a:pPr>
          <a:r>
            <a:rPr lang="fr-FR" sz="1200">
              <a:solidFill>
                <a:schemeClr val="bg1">
                  <a:lumMod val="50000"/>
                </a:schemeClr>
              </a:solidFill>
              <a:latin typeface="Calibri" pitchFamily="34" charset="0"/>
              <a:ea typeface="+mn-ea"/>
              <a:cs typeface="+mn-cs"/>
            </a:rPr>
            <a:t>Taux de rotation des personnels titulaires</a:t>
          </a:r>
        </a:p>
        <a:p>
          <a:pPr algn="r">
            <a:lnSpc>
              <a:spcPts val="900"/>
            </a:lnSpc>
          </a:pPr>
          <a:endParaRPr lang="fr-FR" sz="1200">
            <a:solidFill>
              <a:schemeClr val="bg1">
                <a:lumMod val="50000"/>
              </a:schemeClr>
            </a:solidFill>
            <a:latin typeface="Calibri" pitchFamily="34" charset="0"/>
            <a:ea typeface="+mn-ea"/>
            <a:cs typeface="+mn-cs"/>
          </a:endParaRPr>
        </a:p>
        <a:p>
          <a:pPr algn="r">
            <a:lnSpc>
              <a:spcPts val="900"/>
            </a:lnSpc>
          </a:pPr>
          <a:r>
            <a:rPr lang="fr-FR" sz="800">
              <a:solidFill>
                <a:schemeClr val="bg1">
                  <a:lumMod val="50000"/>
                </a:schemeClr>
              </a:solidFill>
              <a:latin typeface="Calibri" pitchFamily="34" charset="0"/>
              <a:ea typeface="+mn-ea"/>
              <a:cs typeface="+mn-cs"/>
            </a:rPr>
            <a:t>(somme du nombre d'arrivées et du nombre de départs, divisée par deux et rapportée à l'effectif moyen de l'année)</a:t>
          </a:r>
        </a:p>
        <a:p>
          <a:pPr algn="r"/>
          <a:r>
            <a:rPr lang="fr-FR" sz="1400">
              <a:solidFill>
                <a:srgbClr val="00B050"/>
              </a:solidFill>
              <a:latin typeface="Calibri" pitchFamily="34" charset="0"/>
              <a:ea typeface="+mn-ea"/>
              <a:cs typeface="+mn-cs"/>
            </a:rPr>
            <a:t>5,2</a:t>
          </a:r>
          <a:r>
            <a:rPr lang="fr-FR" sz="1400">
              <a:solidFill>
                <a:schemeClr val="bg1">
                  <a:lumMod val="50000"/>
                </a:schemeClr>
              </a:solidFill>
              <a:latin typeface="Calibri" pitchFamily="34" charset="0"/>
              <a:ea typeface="+mn-ea"/>
              <a:cs typeface="+mn-cs"/>
            </a:rPr>
            <a:t>%</a:t>
          </a:r>
          <a:r>
            <a:rPr lang="fr-FR" sz="2000">
              <a:solidFill>
                <a:schemeClr val="bg1">
                  <a:lumMod val="50000"/>
                </a:schemeClr>
              </a:solidFill>
              <a:latin typeface="Calibri" pitchFamily="34" charset="0"/>
              <a:ea typeface="+mn-ea"/>
              <a:cs typeface="+mn-cs"/>
            </a:rPr>
            <a:t> </a:t>
          </a:r>
          <a:r>
            <a:rPr lang="fr-FR" sz="9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pour la population totale</a:t>
          </a:r>
          <a:r>
            <a:rPr lang="fr-FR" sz="1100" baseline="0">
              <a:solidFill>
                <a:schemeClr val="bg1">
                  <a:lumMod val="50000"/>
                </a:schemeClr>
              </a:solidFill>
              <a:latin typeface="Calibri" pitchFamily="34" charset="0"/>
              <a:ea typeface="+mn-ea"/>
              <a:cs typeface="+mn-cs"/>
            </a:rPr>
            <a:t> (Enseignants et Biatss)</a:t>
          </a:r>
        </a:p>
        <a:p>
          <a:pPr algn="r"/>
          <a:r>
            <a:rPr lang="fr-FR" sz="1400">
              <a:solidFill>
                <a:srgbClr val="00B050"/>
              </a:solidFill>
              <a:latin typeface="Calibri" pitchFamily="34" charset="0"/>
              <a:ea typeface="+mn-ea"/>
              <a:cs typeface="+mn-cs"/>
            </a:rPr>
            <a:t>6,5</a:t>
          </a:r>
          <a:r>
            <a:rPr lang="fr-FR" sz="1400">
              <a:solidFill>
                <a:schemeClr val="bg1">
                  <a:lumMod val="50000"/>
                </a:schemeClr>
              </a:solidFill>
              <a:latin typeface="Calibri" pitchFamily="34" charset="0"/>
              <a:ea typeface="+mn-ea"/>
              <a:cs typeface="+mn-cs"/>
            </a:rPr>
            <a:t>%</a:t>
          </a:r>
          <a:r>
            <a:rPr lang="fr-FR" sz="18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pour la population BIATSS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21</xdr:row>
      <xdr:rowOff>15240</xdr:rowOff>
    </xdr:from>
    <xdr:to>
      <xdr:col>8</xdr:col>
      <xdr:colOff>436245</xdr:colOff>
      <xdr:row>37</xdr:row>
      <xdr:rowOff>129540</xdr:rowOff>
    </xdr:to>
    <xdr:graphicFrame macro="">
      <xdr:nvGraphicFramePr>
        <xdr:cNvPr id="37539243" name="Graphique 3">
          <a:extLst>
            <a:ext uri="{FF2B5EF4-FFF2-40B4-BE49-F238E27FC236}">
              <a16:creationId xmlns:a16="http://schemas.microsoft.com/office/drawing/2014/main" id="{00000000-0008-0000-1100-0000ABCD3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523875</xdr:colOff>
      <xdr:row>1</xdr:row>
      <xdr:rowOff>200025</xdr:rowOff>
    </xdr:from>
    <xdr:to>
      <xdr:col>16</xdr:col>
      <xdr:colOff>333375</xdr:colOff>
      <xdr:row>18</xdr:row>
      <xdr:rowOff>57150</xdr:rowOff>
    </xdr:to>
    <xdr:sp macro="" textlink="">
      <xdr:nvSpPr>
        <xdr:cNvPr id="6" name="ZoneTexte 5">
          <a:extLst>
            <a:ext uri="{FF2B5EF4-FFF2-40B4-BE49-F238E27FC236}">
              <a16:creationId xmlns:a16="http://schemas.microsoft.com/office/drawing/2014/main" id="{00000000-0008-0000-1100-000006000000}"/>
            </a:ext>
          </a:extLst>
        </xdr:cNvPr>
        <xdr:cNvSpPr txBox="1"/>
      </xdr:nvSpPr>
      <xdr:spPr>
        <a:xfrm>
          <a:off x="6524625" y="485775"/>
          <a:ext cx="3200400" cy="3314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lgn="r">
            <a:lnSpc>
              <a:spcPts val="3000"/>
            </a:lnSpc>
          </a:pPr>
          <a:r>
            <a:rPr lang="fr-FR" sz="2400" b="0">
              <a:solidFill>
                <a:srgbClr val="00B050"/>
              </a:solidFill>
              <a:latin typeface="Calibri" pitchFamily="34" charset="0"/>
              <a:ea typeface="+mn-ea"/>
              <a:cs typeface="+mn-cs"/>
            </a:rPr>
            <a:t>56</a:t>
          </a:r>
          <a:r>
            <a:rPr lang="fr-FR" sz="32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femmes titulaires ont plus de 60 ans,  contre </a:t>
          </a:r>
        </a:p>
        <a:p>
          <a:pPr marL="0" indent="0" algn="r">
            <a:lnSpc>
              <a:spcPts val="3000"/>
            </a:lnSpc>
          </a:pPr>
          <a:r>
            <a:rPr lang="fr-FR" sz="2400" b="0">
              <a:solidFill>
                <a:srgbClr val="00B050"/>
              </a:solidFill>
              <a:latin typeface="Calibri" pitchFamily="34" charset="0"/>
              <a:ea typeface="+mn-ea"/>
              <a:cs typeface="+mn-cs"/>
            </a:rPr>
            <a:t>87</a:t>
          </a:r>
          <a:r>
            <a:rPr lang="fr-FR" sz="32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hommes </a:t>
          </a:r>
        </a:p>
        <a:p>
          <a:pPr marL="0" indent="0" algn="r">
            <a:lnSpc>
              <a:spcPts val="1200"/>
            </a:lnSpc>
          </a:pPr>
          <a:r>
            <a:rPr lang="fr-FR" sz="1200" b="0">
              <a:solidFill>
                <a:schemeClr val="bg1">
                  <a:lumMod val="50000"/>
                </a:schemeClr>
              </a:solidFill>
              <a:latin typeface="Calibri" pitchFamily="34" charset="0"/>
              <a:ea typeface="+mn-ea"/>
              <a:cs typeface="+mn-cs"/>
            </a:rPr>
            <a:t>sur la totalité</a:t>
          </a:r>
          <a:r>
            <a:rPr lang="fr-FR" sz="1200" b="0" baseline="0">
              <a:solidFill>
                <a:schemeClr val="bg1">
                  <a:lumMod val="50000"/>
                </a:schemeClr>
              </a:solidFill>
              <a:latin typeface="Calibri" pitchFamily="34" charset="0"/>
              <a:ea typeface="+mn-ea"/>
              <a:cs typeface="+mn-cs"/>
            </a:rPr>
            <a:t> de la population titulaire</a:t>
          </a:r>
        </a:p>
        <a:p>
          <a:pPr marL="0" indent="0" algn="r">
            <a:lnSpc>
              <a:spcPts val="3400"/>
            </a:lnSpc>
          </a:pPr>
          <a:r>
            <a:rPr lang="fr-FR" sz="1200" b="0">
              <a:solidFill>
                <a:schemeClr val="bg1">
                  <a:lumMod val="50000"/>
                </a:schemeClr>
              </a:solidFill>
              <a:latin typeface="Calibri" pitchFamily="34" charset="0"/>
              <a:ea typeface="+mn-ea"/>
              <a:cs typeface="+mn-cs"/>
            </a:rPr>
            <a:t>dont</a:t>
          </a:r>
          <a:r>
            <a:rPr lang="fr-FR" sz="3200" b="0">
              <a:solidFill>
                <a:schemeClr val="bg1">
                  <a:lumMod val="50000"/>
                </a:schemeClr>
              </a:solidFill>
              <a:latin typeface="Calibri" pitchFamily="34" charset="0"/>
              <a:ea typeface="+mn-ea"/>
              <a:cs typeface="+mn-cs"/>
            </a:rPr>
            <a:t> </a:t>
          </a:r>
        </a:p>
        <a:p>
          <a:pPr marL="0" indent="0" algn="r"/>
          <a:r>
            <a:rPr lang="fr-FR" sz="2400" b="0">
              <a:solidFill>
                <a:srgbClr val="00B050"/>
              </a:solidFill>
              <a:latin typeface="Calibri" pitchFamily="34" charset="0"/>
              <a:ea typeface="+mn-ea"/>
              <a:cs typeface="+mn-cs"/>
            </a:rPr>
            <a:t>26</a:t>
          </a:r>
          <a:r>
            <a:rPr lang="fr-FR" sz="32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femmes dans la population enseignante,   </a:t>
          </a:r>
        </a:p>
        <a:p>
          <a:pPr marL="0" indent="0" algn="r">
            <a:lnSpc>
              <a:spcPts val="1300"/>
            </a:lnSpc>
          </a:pPr>
          <a:r>
            <a:rPr lang="fr-FR" sz="1200" b="0">
              <a:solidFill>
                <a:schemeClr val="bg1">
                  <a:lumMod val="50000"/>
                </a:schemeClr>
              </a:solidFill>
              <a:latin typeface="Calibri" pitchFamily="34" charset="0"/>
              <a:ea typeface="+mn-ea"/>
              <a:cs typeface="+mn-cs"/>
            </a:rPr>
            <a:t>contre </a:t>
          </a:r>
        </a:p>
        <a:p>
          <a:pPr marL="0" indent="0" algn="r">
            <a:lnSpc>
              <a:spcPts val="3300"/>
            </a:lnSpc>
          </a:pPr>
          <a:r>
            <a:rPr lang="fr-FR" sz="2400" b="0">
              <a:solidFill>
                <a:srgbClr val="00B050"/>
              </a:solidFill>
              <a:latin typeface="Calibri" pitchFamily="34" charset="0"/>
              <a:ea typeface="+mn-ea"/>
              <a:cs typeface="+mn-cs"/>
            </a:rPr>
            <a:t>30</a:t>
          </a:r>
          <a:r>
            <a:rPr lang="fr-FR" sz="24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femmes  dans la population BIATSS</a:t>
          </a:r>
        </a:p>
      </xdr:txBody>
    </xdr:sp>
    <xdr:clientData/>
  </xdr:twoCellAnchor>
  <xdr:twoCellAnchor>
    <xdr:from>
      <xdr:col>8</xdr:col>
      <xdr:colOff>516255</xdr:colOff>
      <xdr:row>20</xdr:row>
      <xdr:rowOff>91439</xdr:rowOff>
    </xdr:from>
    <xdr:to>
      <xdr:col>16</xdr:col>
      <xdr:colOff>546735</xdr:colOff>
      <xdr:row>37</xdr:row>
      <xdr:rowOff>17145</xdr:rowOff>
    </xdr:to>
    <xdr:graphicFrame macro="">
      <xdr:nvGraphicFramePr>
        <xdr:cNvPr id="7" name="Graphique 3">
          <a:extLst>
            <a:ext uri="{FF2B5EF4-FFF2-40B4-BE49-F238E27FC236}">
              <a16:creationId xmlns:a16="http://schemas.microsoft.com/office/drawing/2014/main" id="{1D9C5466-F8B8-4BB6-A745-4A18876B6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xdr:row>
      <xdr:rowOff>323850</xdr:rowOff>
    </xdr:from>
    <xdr:to>
      <xdr:col>10</xdr:col>
      <xdr:colOff>295275</xdr:colOff>
      <xdr:row>17</xdr:row>
      <xdr:rowOff>152400</xdr:rowOff>
    </xdr:to>
    <xdr:graphicFrame macro="">
      <xdr:nvGraphicFramePr>
        <xdr:cNvPr id="8" name="Graphique 3">
          <a:extLst>
            <a:ext uri="{FF2B5EF4-FFF2-40B4-BE49-F238E27FC236}">
              <a16:creationId xmlns:a16="http://schemas.microsoft.com/office/drawing/2014/main" id="{66630976-EE57-46B0-A48D-E50B1C48E9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15240</xdr:rowOff>
    </xdr:from>
    <xdr:to>
      <xdr:col>12</xdr:col>
      <xdr:colOff>270510</xdr:colOff>
      <xdr:row>23</xdr:row>
      <xdr:rowOff>120015</xdr:rowOff>
    </xdr:to>
    <xdr:graphicFrame macro="">
      <xdr:nvGraphicFramePr>
        <xdr:cNvPr id="2" name="Graphique 2">
          <a:extLst>
            <a:ext uri="{FF2B5EF4-FFF2-40B4-BE49-F238E27FC236}">
              <a16:creationId xmlns:a16="http://schemas.microsoft.com/office/drawing/2014/main" id="{D756B46C-1E6B-4B6E-820E-90FE891158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78106</xdr:rowOff>
    </xdr:from>
    <xdr:to>
      <xdr:col>4</xdr:col>
      <xdr:colOff>342900</xdr:colOff>
      <xdr:row>50</xdr:row>
      <xdr:rowOff>64770</xdr:rowOff>
    </xdr:to>
    <xdr:graphicFrame macro="">
      <xdr:nvGraphicFramePr>
        <xdr:cNvPr id="4" name="Graphique 2">
          <a:extLst>
            <a:ext uri="{FF2B5EF4-FFF2-40B4-BE49-F238E27FC236}">
              <a16:creationId xmlns:a16="http://schemas.microsoft.com/office/drawing/2014/main" id="{CFCD708C-EFDD-4EC0-9005-364E199787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114301</xdr:colOff>
      <xdr:row>28</xdr:row>
      <xdr:rowOff>93345</xdr:rowOff>
    </xdr:from>
    <xdr:to>
      <xdr:col>9</xdr:col>
      <xdr:colOff>504826</xdr:colOff>
      <xdr:row>50</xdr:row>
      <xdr:rowOff>26670</xdr:rowOff>
    </xdr:to>
    <xdr:graphicFrame macro="">
      <xdr:nvGraphicFramePr>
        <xdr:cNvPr id="5" name="Graphique 2">
          <a:extLst>
            <a:ext uri="{FF2B5EF4-FFF2-40B4-BE49-F238E27FC236}">
              <a16:creationId xmlns:a16="http://schemas.microsoft.com/office/drawing/2014/main" id="{7A3377F7-AF08-4053-A4C8-D83141CE5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369570</xdr:colOff>
      <xdr:row>28</xdr:row>
      <xdr:rowOff>68580</xdr:rowOff>
    </xdr:from>
    <xdr:to>
      <xdr:col>15</xdr:col>
      <xdr:colOff>649606</xdr:colOff>
      <xdr:row>49</xdr:row>
      <xdr:rowOff>116206</xdr:rowOff>
    </xdr:to>
    <xdr:graphicFrame macro="">
      <xdr:nvGraphicFramePr>
        <xdr:cNvPr id="6" name="Graphique 2">
          <a:extLst>
            <a:ext uri="{FF2B5EF4-FFF2-40B4-BE49-F238E27FC236}">
              <a16:creationId xmlns:a16="http://schemas.microsoft.com/office/drawing/2014/main" id="{830D3118-3E47-4448-BC91-21639C95F7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683894</xdr:colOff>
      <xdr:row>53</xdr:row>
      <xdr:rowOff>102870</xdr:rowOff>
    </xdr:from>
    <xdr:to>
      <xdr:col>7</xdr:col>
      <xdr:colOff>445769</xdr:colOff>
      <xdr:row>69</xdr:row>
      <xdr:rowOff>55245</xdr:rowOff>
    </xdr:to>
    <xdr:graphicFrame macro="">
      <xdr:nvGraphicFramePr>
        <xdr:cNvPr id="7" name="Graphique 3">
          <a:extLst>
            <a:ext uri="{FF2B5EF4-FFF2-40B4-BE49-F238E27FC236}">
              <a16:creationId xmlns:a16="http://schemas.microsoft.com/office/drawing/2014/main" id="{ACF13665-3307-45CD-BA24-77706AA560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510540</xdr:colOff>
      <xdr:row>64</xdr:row>
      <xdr:rowOff>121920</xdr:rowOff>
    </xdr:from>
    <xdr:to>
      <xdr:col>20</xdr:col>
      <xdr:colOff>0</xdr:colOff>
      <xdr:row>69</xdr:row>
      <xdr:rowOff>71063</xdr:rowOff>
    </xdr:to>
    <xdr:sp macro="" textlink="">
      <xdr:nvSpPr>
        <xdr:cNvPr id="8" name="ZoneTexte 7">
          <a:extLst>
            <a:ext uri="{FF2B5EF4-FFF2-40B4-BE49-F238E27FC236}">
              <a16:creationId xmlns:a16="http://schemas.microsoft.com/office/drawing/2014/main" id="{A4505215-B2AD-4BC6-B62B-2F71831A11C8}"/>
            </a:ext>
          </a:extLst>
        </xdr:cNvPr>
        <xdr:cNvSpPr txBox="1"/>
      </xdr:nvSpPr>
      <xdr:spPr>
        <a:xfrm>
          <a:off x="5570220" y="9060180"/>
          <a:ext cx="7193280" cy="5968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900"/>
            </a:lnSpc>
          </a:pPr>
          <a:r>
            <a:rPr lang="fr-FR" sz="1000" b="0">
              <a:solidFill>
                <a:schemeClr val="bg1">
                  <a:lumMod val="50000"/>
                </a:schemeClr>
              </a:solidFill>
              <a:latin typeface="Calibri" pitchFamily="34" charset="0"/>
              <a:ea typeface="+mn-ea"/>
              <a:cs typeface="+mn-cs"/>
            </a:rPr>
            <a:t>Les personnels contractuels sont, en moyenne, plus jeunes que les personnels titulaires,</a:t>
          </a:r>
          <a:r>
            <a:rPr lang="fr-FR" sz="1000" b="0" baseline="0">
              <a:solidFill>
                <a:schemeClr val="bg1">
                  <a:lumMod val="50000"/>
                </a:schemeClr>
              </a:solidFill>
              <a:latin typeface="Calibri" pitchFamily="34" charset="0"/>
              <a:ea typeface="+mn-ea"/>
              <a:cs typeface="+mn-cs"/>
            </a:rPr>
            <a:t> </a:t>
          </a:r>
          <a:r>
            <a:rPr lang="fr-FR" sz="1000" b="0">
              <a:solidFill>
                <a:schemeClr val="bg1">
                  <a:lumMod val="50000"/>
                </a:schemeClr>
              </a:solidFill>
              <a:latin typeface="Calibri" pitchFamily="34" charset="0"/>
              <a:ea typeface="+mn-ea"/>
              <a:cs typeface="+mn-cs"/>
            </a:rPr>
            <a:t>en particulier chez les enseignants.</a:t>
          </a:r>
        </a:p>
        <a:p>
          <a:pPr>
            <a:lnSpc>
              <a:spcPts val="900"/>
            </a:lnSpc>
          </a:pPr>
          <a:r>
            <a:rPr lang="fr-FR" sz="1000" b="0">
              <a:solidFill>
                <a:schemeClr val="bg1">
                  <a:lumMod val="50000"/>
                </a:schemeClr>
              </a:solidFill>
              <a:latin typeface="Calibri" pitchFamily="34" charset="0"/>
              <a:ea typeface="+mn-ea"/>
              <a:cs typeface="+mn-cs"/>
            </a:rPr>
            <a:t>Cela s'explique par plusieurs facteurs :</a:t>
          </a:r>
        </a:p>
        <a:p>
          <a:pPr>
            <a:lnSpc>
              <a:spcPts val="900"/>
            </a:lnSpc>
          </a:pPr>
          <a:r>
            <a:rPr lang="fr-FR" sz="1000" b="0">
              <a:solidFill>
                <a:schemeClr val="bg1">
                  <a:lumMod val="50000"/>
                </a:schemeClr>
              </a:solidFill>
              <a:latin typeface="Calibri" pitchFamily="34" charset="0"/>
              <a:ea typeface="+mn-ea"/>
              <a:cs typeface="+mn-cs"/>
            </a:rPr>
            <a:t>- les recrutements des enseignants</a:t>
          </a:r>
          <a:r>
            <a:rPr lang="fr-FR" sz="1000" b="0" baseline="0">
              <a:solidFill>
                <a:schemeClr val="bg1">
                  <a:lumMod val="50000"/>
                </a:schemeClr>
              </a:solidFill>
              <a:latin typeface="Calibri" pitchFamily="34" charset="0"/>
              <a:ea typeface="+mn-ea"/>
              <a:cs typeface="+mn-cs"/>
            </a:rPr>
            <a:t> : </a:t>
          </a:r>
          <a:r>
            <a:rPr lang="fr-FR" sz="1000" b="0">
              <a:solidFill>
                <a:schemeClr val="bg1">
                  <a:lumMod val="50000"/>
                </a:schemeClr>
              </a:solidFill>
              <a:latin typeface="Calibri" pitchFamily="34" charset="0"/>
              <a:ea typeface="+mn-ea"/>
              <a:cs typeface="+mn-cs"/>
            </a:rPr>
            <a:t>certains contrats enseignants  ne débouchent pas sur un recrutement de fonctionnaire (lecteurs)</a:t>
          </a:r>
          <a:r>
            <a:rPr lang="fr-FR" sz="1000" b="0" baseline="0">
              <a:solidFill>
                <a:schemeClr val="bg1">
                  <a:lumMod val="50000"/>
                </a:schemeClr>
              </a:solidFill>
              <a:latin typeface="Calibri" pitchFamily="34" charset="0"/>
              <a:ea typeface="+mn-ea"/>
              <a:cs typeface="+mn-cs"/>
            </a:rPr>
            <a:t> ;</a:t>
          </a:r>
        </a:p>
        <a:p>
          <a:pPr>
            <a:lnSpc>
              <a:spcPts val="900"/>
            </a:lnSpc>
          </a:pPr>
          <a:r>
            <a:rPr lang="fr-FR" sz="1000" b="0" baseline="0">
              <a:solidFill>
                <a:schemeClr val="bg1">
                  <a:lumMod val="50000"/>
                </a:schemeClr>
              </a:solidFill>
              <a:latin typeface="Calibri" pitchFamily="34" charset="0"/>
              <a:ea typeface="+mn-ea"/>
              <a:cs typeface="+mn-cs"/>
            </a:rPr>
            <a:t>- d</a:t>
          </a:r>
          <a:r>
            <a:rPr lang="fr-FR" sz="1000" b="0">
              <a:solidFill>
                <a:schemeClr val="bg1">
                  <a:lumMod val="50000"/>
                </a:schemeClr>
              </a:solidFill>
              <a:latin typeface="Calibri" pitchFamily="34" charset="0"/>
              <a:ea typeface="+mn-ea"/>
              <a:cs typeface="+mn-cs"/>
            </a:rPr>
            <a:t>e plus, les personnels</a:t>
          </a:r>
          <a:r>
            <a:rPr lang="fr-FR" sz="1000" b="0" baseline="0">
              <a:solidFill>
                <a:schemeClr val="bg1">
                  <a:lumMod val="50000"/>
                </a:schemeClr>
              </a:solidFill>
              <a:latin typeface="Calibri" pitchFamily="34" charset="0"/>
              <a:ea typeface="+mn-ea"/>
              <a:cs typeface="+mn-cs"/>
            </a:rPr>
            <a:t> enseignants commencent souvent leur carrière comme contractuels (ATER, doctorants).</a:t>
          </a:r>
          <a:endParaRPr lang="fr-FR" sz="1000" b="0">
            <a:solidFill>
              <a:schemeClr val="bg1">
                <a:lumMod val="50000"/>
              </a:schemeClr>
            </a:solidFill>
            <a:latin typeface="Calibri" pitchFamily="34" charset="0"/>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45717</xdr:rowOff>
    </xdr:from>
    <xdr:to>
      <xdr:col>15</xdr:col>
      <xdr:colOff>198119</xdr:colOff>
      <xdr:row>20</xdr:row>
      <xdr:rowOff>133349</xdr:rowOff>
    </xdr:to>
    <xdr:graphicFrame macro="">
      <xdr:nvGraphicFramePr>
        <xdr:cNvPr id="2" name="Graphique 3">
          <a:extLst>
            <a:ext uri="{FF2B5EF4-FFF2-40B4-BE49-F238E27FC236}">
              <a16:creationId xmlns:a16="http://schemas.microsoft.com/office/drawing/2014/main" id="{31F92AEE-88E0-41E6-944A-18F5870CFF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95248</xdr:rowOff>
    </xdr:from>
    <xdr:to>
      <xdr:col>6</xdr:col>
      <xdr:colOff>243840</xdr:colOff>
      <xdr:row>48</xdr:row>
      <xdr:rowOff>47624</xdr:rowOff>
    </xdr:to>
    <xdr:graphicFrame macro="">
      <xdr:nvGraphicFramePr>
        <xdr:cNvPr id="3" name="Graphique 3">
          <a:extLst>
            <a:ext uri="{FF2B5EF4-FFF2-40B4-BE49-F238E27FC236}">
              <a16:creationId xmlns:a16="http://schemas.microsoft.com/office/drawing/2014/main" id="{9EC96802-8349-45BF-B8F7-0E8D2854B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165735</xdr:colOff>
      <xdr:row>25</xdr:row>
      <xdr:rowOff>60960</xdr:rowOff>
    </xdr:from>
    <xdr:to>
      <xdr:col>13</xdr:col>
      <xdr:colOff>403860</xdr:colOff>
      <xdr:row>48</xdr:row>
      <xdr:rowOff>99060</xdr:rowOff>
    </xdr:to>
    <xdr:graphicFrame macro="">
      <xdr:nvGraphicFramePr>
        <xdr:cNvPr id="4" name="Graphique 3">
          <a:extLst>
            <a:ext uri="{FF2B5EF4-FFF2-40B4-BE49-F238E27FC236}">
              <a16:creationId xmlns:a16="http://schemas.microsoft.com/office/drawing/2014/main" id="{CF070BF4-9917-4330-A9B3-A14AF50242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531494</xdr:colOff>
      <xdr:row>25</xdr:row>
      <xdr:rowOff>45720</xdr:rowOff>
    </xdr:from>
    <xdr:to>
      <xdr:col>19</xdr:col>
      <xdr:colOff>622934</xdr:colOff>
      <xdr:row>48</xdr:row>
      <xdr:rowOff>45720</xdr:rowOff>
    </xdr:to>
    <xdr:graphicFrame macro="">
      <xdr:nvGraphicFramePr>
        <xdr:cNvPr id="5" name="Graphique 4">
          <a:extLst>
            <a:ext uri="{FF2B5EF4-FFF2-40B4-BE49-F238E27FC236}">
              <a16:creationId xmlns:a16="http://schemas.microsoft.com/office/drawing/2014/main" id="{199C10E7-B051-4C8D-A77E-575F0AFE20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192405</xdr:colOff>
      <xdr:row>2</xdr:row>
      <xdr:rowOff>68580</xdr:rowOff>
    </xdr:from>
    <xdr:to>
      <xdr:col>6</xdr:col>
      <xdr:colOff>438150</xdr:colOff>
      <xdr:row>20</xdr:row>
      <xdr:rowOff>121919</xdr:rowOff>
    </xdr:to>
    <xdr:graphicFrame macro="">
      <xdr:nvGraphicFramePr>
        <xdr:cNvPr id="5122579" name="Graphique 3">
          <a:extLst>
            <a:ext uri="{FF2B5EF4-FFF2-40B4-BE49-F238E27FC236}">
              <a16:creationId xmlns:a16="http://schemas.microsoft.com/office/drawing/2014/main" id="{00000000-0008-0000-1200-0000132A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624029</xdr:colOff>
      <xdr:row>2</xdr:row>
      <xdr:rowOff>1905</xdr:rowOff>
    </xdr:from>
    <xdr:to>
      <xdr:col>14</xdr:col>
      <xdr:colOff>139064</xdr:colOff>
      <xdr:row>20</xdr:row>
      <xdr:rowOff>49530</xdr:rowOff>
    </xdr:to>
    <xdr:graphicFrame macro="">
      <xdr:nvGraphicFramePr>
        <xdr:cNvPr id="5122580" name="Graphique 3">
          <a:extLst>
            <a:ext uri="{FF2B5EF4-FFF2-40B4-BE49-F238E27FC236}">
              <a16:creationId xmlns:a16="http://schemas.microsoft.com/office/drawing/2014/main" id="{00000000-0008-0000-1200-0000142A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47624</xdr:colOff>
      <xdr:row>4</xdr:row>
      <xdr:rowOff>9525</xdr:rowOff>
    </xdr:from>
    <xdr:to>
      <xdr:col>10</xdr:col>
      <xdr:colOff>91440</xdr:colOff>
      <xdr:row>5</xdr:row>
      <xdr:rowOff>129540</xdr:rowOff>
    </xdr:to>
    <xdr:sp macro="" textlink="">
      <xdr:nvSpPr>
        <xdr:cNvPr id="4" name="ZoneTexte 3">
          <a:extLst>
            <a:ext uri="{FF2B5EF4-FFF2-40B4-BE49-F238E27FC236}">
              <a16:creationId xmlns:a16="http://schemas.microsoft.com/office/drawing/2014/main" id="{00000000-0008-0000-1400-000004000000}"/>
            </a:ext>
          </a:extLst>
        </xdr:cNvPr>
        <xdr:cNvSpPr txBox="1"/>
      </xdr:nvSpPr>
      <xdr:spPr>
        <a:xfrm>
          <a:off x="47624" y="687705"/>
          <a:ext cx="6597016" cy="264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lgn="l"/>
          <a:r>
            <a:rPr lang="fr-FR" sz="1000" b="0">
              <a:solidFill>
                <a:schemeClr val="bg1">
                  <a:lumMod val="50000"/>
                </a:schemeClr>
              </a:solidFill>
              <a:latin typeface="Calibri" pitchFamily="34" charset="0"/>
              <a:ea typeface="+mn-ea"/>
              <a:cs typeface="+mn-cs"/>
            </a:rPr>
            <a:t> L'âge moyen de départ à la retraite est de 63 ans .</a:t>
          </a:r>
          <a:r>
            <a:rPr lang="fr-FR" sz="1000" b="0" baseline="0">
              <a:solidFill>
                <a:schemeClr val="bg1">
                  <a:lumMod val="50000"/>
                </a:schemeClr>
              </a:solidFill>
              <a:latin typeface="Calibri" pitchFamily="34" charset="0"/>
              <a:ea typeface="+mn-ea"/>
              <a:cs typeface="+mn-cs"/>
            </a:rPr>
            <a:t> (Moyenne calculée hors dispositifs particuliers (retraitre pour invalidité)).</a:t>
          </a:r>
          <a:endParaRPr lang="fr-FR" sz="800" b="0">
            <a:solidFill>
              <a:schemeClr val="bg1">
                <a:lumMod val="50000"/>
              </a:schemeClr>
            </a:solidFill>
            <a:latin typeface="Calibri" pitchFamily="34" charset="0"/>
            <a:ea typeface="+mn-ea"/>
            <a:cs typeface="+mn-cs"/>
          </a:endParaRPr>
        </a:p>
      </xdr:txBody>
    </xdr:sp>
    <xdr:clientData/>
  </xdr:twoCellAnchor>
  <xdr:twoCellAnchor>
    <xdr:from>
      <xdr:col>8</xdr:col>
      <xdr:colOff>67098</xdr:colOff>
      <xdr:row>12</xdr:row>
      <xdr:rowOff>78105</xdr:rowOff>
    </xdr:from>
    <xdr:to>
      <xdr:col>12</xdr:col>
      <xdr:colOff>651894</xdr:colOff>
      <xdr:row>27</xdr:row>
      <xdr:rowOff>7620</xdr:rowOff>
    </xdr:to>
    <xdr:sp macro="" textlink="">
      <xdr:nvSpPr>
        <xdr:cNvPr id="11" name="ZoneTexte 10">
          <a:extLst>
            <a:ext uri="{FF2B5EF4-FFF2-40B4-BE49-F238E27FC236}">
              <a16:creationId xmlns:a16="http://schemas.microsoft.com/office/drawing/2014/main" id="{00000000-0008-0000-1400-00000B000000}"/>
            </a:ext>
          </a:extLst>
        </xdr:cNvPr>
        <xdr:cNvSpPr txBox="1"/>
      </xdr:nvSpPr>
      <xdr:spPr>
        <a:xfrm>
          <a:off x="5705898" y="1916430"/>
          <a:ext cx="3404196" cy="19773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lnSpc>
              <a:spcPts val="1400"/>
            </a:lnSpc>
          </a:pPr>
          <a:r>
            <a:rPr lang="fr-FR" sz="1200" b="0">
              <a:solidFill>
                <a:schemeClr val="bg1">
                  <a:lumMod val="50000"/>
                </a:schemeClr>
              </a:solidFill>
              <a:latin typeface="Calibri" pitchFamily="34" charset="0"/>
              <a:ea typeface="+mn-ea"/>
              <a:cs typeface="+mn-cs"/>
            </a:rPr>
            <a:t>Sur la période 2022</a:t>
          </a:r>
          <a:r>
            <a:rPr lang="fr-FR" sz="1200" b="0" baseline="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à 2026,</a:t>
          </a:r>
        </a:p>
        <a:p>
          <a:pPr algn="r"/>
          <a:r>
            <a:rPr lang="fr-FR" sz="2400" b="0">
              <a:solidFill>
                <a:srgbClr val="00B050"/>
              </a:solidFill>
              <a:latin typeface="Calibri" pitchFamily="34" charset="0"/>
              <a:ea typeface="+mn-ea"/>
              <a:cs typeface="+mn-cs"/>
            </a:rPr>
            <a:t>187</a:t>
          </a:r>
          <a:r>
            <a:rPr lang="fr-FR" sz="1200" b="0">
              <a:solidFill>
                <a:schemeClr val="bg1">
                  <a:lumMod val="50000"/>
                </a:schemeClr>
              </a:solidFill>
              <a:latin typeface="Calibri" pitchFamily="34" charset="0"/>
              <a:ea typeface="+mn-ea"/>
              <a:cs typeface="+mn-cs"/>
            </a:rPr>
            <a:t> personnels en activité atteignent l'âge de </a:t>
          </a:r>
          <a:r>
            <a:rPr lang="fr-FR" sz="2400" b="0">
              <a:solidFill>
                <a:schemeClr val="bg1">
                  <a:lumMod val="50000"/>
                </a:schemeClr>
              </a:solidFill>
              <a:latin typeface="Calibri" pitchFamily="34" charset="0"/>
              <a:ea typeface="+mn-ea"/>
              <a:cs typeface="+mn-cs"/>
            </a:rPr>
            <a:t>62</a:t>
          </a:r>
          <a:r>
            <a:rPr lang="fr-FR" sz="1200" b="0">
              <a:solidFill>
                <a:schemeClr val="bg1">
                  <a:lumMod val="50000"/>
                </a:schemeClr>
              </a:solidFill>
              <a:latin typeface="Calibri" pitchFamily="34" charset="0"/>
              <a:ea typeface="+mn-ea"/>
              <a:cs typeface="+mn-cs"/>
            </a:rPr>
            <a:t> ans,</a:t>
          </a:r>
          <a:r>
            <a:rPr lang="fr-FR" sz="1200" b="0" baseline="0">
              <a:solidFill>
                <a:schemeClr val="bg1">
                  <a:lumMod val="50000"/>
                </a:schemeClr>
              </a:solidFill>
              <a:latin typeface="Calibri" pitchFamily="34" charset="0"/>
              <a:ea typeface="+mn-ea"/>
              <a:cs typeface="+mn-cs"/>
            </a:rPr>
            <a:t> </a:t>
          </a:r>
          <a:r>
            <a:rPr lang="fr-FR" sz="1200" b="0" baseline="0">
              <a:solidFill>
                <a:srgbClr val="00B050"/>
              </a:solidFill>
              <a:latin typeface="Calibri" pitchFamily="34" charset="0"/>
              <a:ea typeface="+mn-ea"/>
              <a:cs typeface="+mn-cs"/>
            </a:rPr>
            <a:t>dont </a:t>
          </a:r>
          <a:r>
            <a:rPr lang="fr-FR" sz="2400" b="0" baseline="0">
              <a:solidFill>
                <a:srgbClr val="00B050"/>
              </a:solidFill>
              <a:latin typeface="Calibri" pitchFamily="34" charset="0"/>
              <a:ea typeface="+mn-ea"/>
              <a:cs typeface="+mn-cs"/>
            </a:rPr>
            <a:t>49%</a:t>
          </a:r>
          <a:r>
            <a:rPr lang="fr-FR" sz="1200" b="0" baseline="0">
              <a:solidFill>
                <a:srgbClr val="00B050"/>
              </a:solidFill>
              <a:latin typeface="Calibri" pitchFamily="34" charset="0"/>
              <a:ea typeface="+mn-ea"/>
              <a:cs typeface="+mn-cs"/>
            </a:rPr>
            <a:t> de femmes.</a:t>
          </a:r>
          <a:endParaRPr lang="fr-FR" sz="1200" b="0">
            <a:solidFill>
              <a:srgbClr val="00B050"/>
            </a:solidFill>
            <a:latin typeface="Calibri" pitchFamily="34" charset="0"/>
            <a:ea typeface="+mn-ea"/>
            <a:cs typeface="+mn-cs"/>
          </a:endParaRPr>
        </a:p>
        <a:p>
          <a:pPr algn="r">
            <a:lnSpc>
              <a:spcPts val="2700"/>
            </a:lnSpc>
          </a:pPr>
          <a:r>
            <a:rPr lang="fr-FR" sz="2400" b="0">
              <a:solidFill>
                <a:srgbClr val="00B050"/>
              </a:solidFill>
              <a:latin typeface="Calibri" pitchFamily="34" charset="0"/>
              <a:ea typeface="+mn-ea"/>
              <a:cs typeface="+mn-cs"/>
            </a:rPr>
            <a:t>103</a:t>
          </a:r>
          <a:r>
            <a:rPr lang="fr-FR" sz="1200" b="0">
              <a:solidFill>
                <a:schemeClr val="bg1">
                  <a:lumMod val="50000"/>
                </a:schemeClr>
              </a:solidFill>
              <a:latin typeface="Calibri" pitchFamily="34" charset="0"/>
              <a:ea typeface="+mn-ea"/>
              <a:cs typeface="+mn-cs"/>
            </a:rPr>
            <a:t> personnels enseignants</a:t>
          </a:r>
        </a:p>
        <a:p>
          <a:pPr algn="r">
            <a:lnSpc>
              <a:spcPts val="1400"/>
            </a:lnSpc>
          </a:pPr>
          <a:r>
            <a:rPr lang="fr-FR" sz="1200" b="0">
              <a:solidFill>
                <a:schemeClr val="bg1">
                  <a:lumMod val="50000"/>
                </a:schemeClr>
              </a:solidFill>
              <a:latin typeface="Calibri" pitchFamily="34" charset="0"/>
              <a:ea typeface="+mn-ea"/>
              <a:cs typeface="+mn-cs"/>
            </a:rPr>
            <a:t>et </a:t>
          </a:r>
        </a:p>
        <a:p>
          <a:pPr algn="r">
            <a:lnSpc>
              <a:spcPts val="2700"/>
            </a:lnSpc>
          </a:pPr>
          <a:r>
            <a:rPr lang="fr-FR" sz="2400" b="0">
              <a:solidFill>
                <a:srgbClr val="00B050"/>
              </a:solidFill>
              <a:latin typeface="Calibri" pitchFamily="34" charset="0"/>
              <a:ea typeface="+mn-ea"/>
              <a:cs typeface="+mn-cs"/>
            </a:rPr>
            <a:t>84</a:t>
          </a:r>
          <a:r>
            <a:rPr lang="fr-FR" sz="1200" b="0">
              <a:solidFill>
                <a:schemeClr val="bg1">
                  <a:lumMod val="50000"/>
                </a:schemeClr>
              </a:solidFill>
              <a:latin typeface="Calibri" pitchFamily="34" charset="0"/>
              <a:ea typeface="+mn-ea"/>
              <a:cs typeface="+mn-cs"/>
            </a:rPr>
            <a:t> personnels BIATSS</a:t>
          </a:r>
        </a:p>
      </xdr:txBody>
    </xdr:sp>
    <xdr:clientData/>
  </xdr:twoCellAnchor>
  <xdr:twoCellAnchor>
    <xdr:from>
      <xdr:col>1</xdr:col>
      <xdr:colOff>5715</xdr:colOff>
      <xdr:row>7</xdr:row>
      <xdr:rowOff>85725</xdr:rowOff>
    </xdr:from>
    <xdr:to>
      <xdr:col>7</xdr:col>
      <xdr:colOff>219075</xdr:colOff>
      <xdr:row>25</xdr:row>
      <xdr:rowOff>38100</xdr:rowOff>
    </xdr:to>
    <xdr:graphicFrame macro="">
      <xdr:nvGraphicFramePr>
        <xdr:cNvPr id="1466025" name="Graphique 4">
          <a:extLst>
            <a:ext uri="{FF2B5EF4-FFF2-40B4-BE49-F238E27FC236}">
              <a16:creationId xmlns:a16="http://schemas.microsoft.com/office/drawing/2014/main" id="{00000000-0008-0000-1400-0000A95E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633730</xdr:colOff>
      <xdr:row>27</xdr:row>
      <xdr:rowOff>114300</xdr:rowOff>
    </xdr:from>
    <xdr:to>
      <xdr:col>7</xdr:col>
      <xdr:colOff>147955</xdr:colOff>
      <xdr:row>43</xdr:row>
      <xdr:rowOff>161925</xdr:rowOff>
    </xdr:to>
    <xdr:graphicFrame macro="">
      <xdr:nvGraphicFramePr>
        <xdr:cNvPr id="1466026" name="Graphique 6">
          <a:extLst>
            <a:ext uri="{FF2B5EF4-FFF2-40B4-BE49-F238E27FC236}">
              <a16:creationId xmlns:a16="http://schemas.microsoft.com/office/drawing/2014/main" id="{00000000-0008-0000-1400-0000AA5E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575309</xdr:colOff>
      <xdr:row>29</xdr:row>
      <xdr:rowOff>113030</xdr:rowOff>
    </xdr:from>
    <xdr:to>
      <xdr:col>13</xdr:col>
      <xdr:colOff>47624</xdr:colOff>
      <xdr:row>43</xdr:row>
      <xdr:rowOff>43180</xdr:rowOff>
    </xdr:to>
    <xdr:sp macro="" textlink="">
      <xdr:nvSpPr>
        <xdr:cNvPr id="2" name="ZoneTexte 1">
          <a:extLst>
            <a:ext uri="{FF2B5EF4-FFF2-40B4-BE49-F238E27FC236}">
              <a16:creationId xmlns:a16="http://schemas.microsoft.com/office/drawing/2014/main" id="{00000000-0008-0000-1400-000002000000}"/>
            </a:ext>
          </a:extLst>
        </xdr:cNvPr>
        <xdr:cNvSpPr txBox="1"/>
      </xdr:nvSpPr>
      <xdr:spPr>
        <a:xfrm>
          <a:off x="5509259" y="4294505"/>
          <a:ext cx="3701415" cy="190182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kumimoji="0" lang="fr-FR" sz="2400" b="0" i="0" u="none" strike="noStrike" kern="0" cap="none" spc="0" normalizeH="0" baseline="0" noProof="0">
              <a:ln>
                <a:noFill/>
              </a:ln>
              <a:solidFill>
                <a:srgbClr val="00B050"/>
              </a:solidFill>
              <a:effectLst/>
              <a:uLnTx/>
              <a:uFillTx/>
              <a:latin typeface="Calibri" pitchFamily="34" charset="0"/>
              <a:ea typeface="+mn-ea"/>
              <a:cs typeface="+mn-cs"/>
            </a:rPr>
            <a:t>17</a:t>
          </a:r>
          <a:r>
            <a:rPr kumimoji="0" lang="fr-FR" sz="2400" b="0" i="0" u="none" strike="noStrike" kern="0" cap="none" spc="0" normalizeH="0" baseline="0" noProof="0">
              <a:ln>
                <a:noFill/>
              </a:ln>
              <a:solidFill>
                <a:prstClr val="white">
                  <a:lumMod val="50000"/>
                </a:prstClr>
              </a:solidFill>
              <a:effectLst/>
              <a:uLnTx/>
              <a:uFillTx/>
              <a:latin typeface="Calibri" pitchFamily="34" charset="0"/>
              <a:ea typeface="+mn-ea"/>
              <a:cs typeface="+mn-cs"/>
            </a:rPr>
            <a:t> </a:t>
          </a:r>
          <a:r>
            <a:rPr kumimoji="0" lang="fr-FR" sz="1200" b="0" i="0" u="none" strike="noStrike" kern="0" cap="none" spc="0" normalizeH="0" baseline="0" noProof="0">
              <a:ln>
                <a:noFill/>
              </a:ln>
              <a:solidFill>
                <a:prstClr val="white">
                  <a:lumMod val="50000"/>
                </a:prstClr>
              </a:solidFill>
              <a:effectLst/>
              <a:uLnTx/>
              <a:uFillTx/>
              <a:latin typeface="Calibri" pitchFamily="34" charset="0"/>
              <a:ea typeface="+mn-ea"/>
              <a:cs typeface="+mn-cs"/>
            </a:rPr>
            <a:t>départs en 2022</a:t>
          </a:r>
          <a:r>
            <a:rPr lang="fr-FR" sz="2400" b="0">
              <a:solidFill>
                <a:srgbClr val="FF0000"/>
              </a:solidFill>
              <a:latin typeface="Calibri" pitchFamily="34" charset="0"/>
              <a:ea typeface="+mn-ea"/>
              <a:cs typeface="+mn-cs"/>
            </a:rPr>
            <a:t>	</a:t>
          </a:r>
          <a:r>
            <a:rPr lang="fr-FR" sz="2400" b="0">
              <a:solidFill>
                <a:schemeClr val="bg1">
                  <a:lumMod val="50000"/>
                </a:schemeClr>
              </a:solidFill>
              <a:latin typeface="Calibri" pitchFamily="34" charset="0"/>
              <a:ea typeface="+mn-ea"/>
              <a:cs typeface="+mn-cs"/>
            </a:rPr>
            <a:t>17 </a:t>
          </a:r>
          <a:r>
            <a:rPr lang="fr-FR" sz="1200" b="0">
              <a:solidFill>
                <a:schemeClr val="bg1">
                  <a:lumMod val="50000"/>
                </a:schemeClr>
              </a:solidFill>
              <a:latin typeface="Calibri" pitchFamily="34" charset="0"/>
              <a:ea typeface="+mn-ea"/>
              <a:cs typeface="+mn-cs"/>
            </a:rPr>
            <a:t>départs en 2021</a:t>
          </a:r>
        </a:p>
        <a:p>
          <a:pPr marL="0" indent="0" algn="l"/>
          <a:r>
            <a:rPr kumimoji="0" lang="fr-FR" sz="1200" b="0" i="0" u="none" strike="noStrike" kern="0" cap="none" spc="0" normalizeH="0" baseline="0" noProof="0">
              <a:ln>
                <a:noFill/>
              </a:ln>
              <a:solidFill>
                <a:srgbClr val="00B050"/>
              </a:solidFill>
              <a:effectLst/>
              <a:uLnTx/>
              <a:uFillTx/>
              <a:latin typeface="Calibri" pitchFamily="34" charset="0"/>
              <a:ea typeface="+mn-ea"/>
              <a:cs typeface="+mn-cs"/>
            </a:rPr>
            <a:t>11</a:t>
          </a:r>
          <a:r>
            <a:rPr kumimoji="0" lang="fr-FR" sz="1200" b="0" i="0" u="none" strike="noStrike" kern="0" cap="none" spc="0" normalizeH="0" baseline="0" noProof="0">
              <a:ln>
                <a:noFill/>
              </a:ln>
              <a:solidFill>
                <a:prstClr val="white">
                  <a:lumMod val="50000"/>
                </a:prstClr>
              </a:solidFill>
              <a:effectLst/>
              <a:uLnTx/>
              <a:uFillTx/>
              <a:latin typeface="Calibri" pitchFamily="34" charset="0"/>
              <a:ea typeface="+mn-ea"/>
              <a:cs typeface="+mn-cs"/>
            </a:rPr>
            <a:t> Enseignants</a:t>
          </a:r>
          <a:r>
            <a:rPr lang="fr-FR" sz="1200" b="0">
              <a:solidFill>
                <a:srgbClr val="FF0000"/>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8 Enseignants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rgbClr val="00B050"/>
              </a:solidFill>
              <a:effectLst/>
              <a:uLnTx/>
              <a:uFillTx/>
              <a:latin typeface="Calibri" pitchFamily="34" charset="0"/>
              <a:ea typeface="+mn-ea"/>
              <a:cs typeface="+mn-cs"/>
            </a:rPr>
            <a:t>6</a:t>
          </a:r>
          <a:r>
            <a:rPr kumimoji="0" lang="fr-FR" sz="1200" b="0" i="0" u="none" strike="noStrike" kern="0" cap="none" spc="0" normalizeH="0" baseline="0" noProof="0">
              <a:ln>
                <a:noFill/>
              </a:ln>
              <a:solidFill>
                <a:prstClr val="white">
                  <a:lumMod val="50000"/>
                </a:prstClr>
              </a:solidFill>
              <a:effectLst/>
              <a:uLnTx/>
              <a:uFillTx/>
              <a:latin typeface="Calibri" pitchFamily="34" charset="0"/>
              <a:ea typeface="+mn-ea"/>
              <a:cs typeface="+mn-cs"/>
            </a:rPr>
            <a:t> BIATSS</a:t>
          </a:r>
          <a:r>
            <a:rPr lang="fr-FR" sz="1200" b="0">
              <a:solidFill>
                <a:srgbClr val="FF0000"/>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9 BIATSS</a:t>
          </a:r>
        </a:p>
        <a:p>
          <a:pPr marL="0" indent="0" algn="r"/>
          <a:endParaRPr lang="fr-FR" sz="1000" b="0">
            <a:solidFill>
              <a:schemeClr val="bg1">
                <a:lumMod val="50000"/>
              </a:schemeClr>
            </a:solidFill>
            <a:latin typeface="Calibri" pitchFamily="34" charset="0"/>
            <a:ea typeface="+mn-ea"/>
            <a:cs typeface="+mn-cs"/>
          </a:endParaRPr>
        </a:p>
        <a:p>
          <a:pPr marL="0" indent="0" algn="l"/>
          <a:r>
            <a:rPr lang="fr-FR" sz="2000" b="0">
              <a:solidFill>
                <a:schemeClr val="bg1">
                  <a:lumMod val="50000"/>
                </a:schemeClr>
              </a:solidFill>
              <a:latin typeface="Calibri" pitchFamily="34" charset="0"/>
              <a:ea typeface="+mn-ea"/>
              <a:cs typeface="+mn-cs"/>
            </a:rPr>
            <a:t>20</a:t>
          </a:r>
          <a:r>
            <a:rPr lang="fr-FR" sz="1200" b="0">
              <a:solidFill>
                <a:schemeClr val="bg1">
                  <a:lumMod val="50000"/>
                </a:schemeClr>
              </a:solidFill>
              <a:latin typeface="Calibri" pitchFamily="34" charset="0"/>
              <a:ea typeface="+mn-ea"/>
              <a:cs typeface="+mn-cs"/>
            </a:rPr>
            <a:t> départs</a:t>
          </a:r>
          <a:r>
            <a:rPr lang="fr-FR" sz="1200" b="0" baseline="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en 2020	</a:t>
          </a:r>
          <a:r>
            <a:rPr lang="fr-FR" sz="2000" b="0">
              <a:solidFill>
                <a:schemeClr val="bg1">
                  <a:lumMod val="50000"/>
                </a:schemeClr>
              </a:solidFill>
              <a:latin typeface="Calibri" pitchFamily="34" charset="0"/>
              <a:ea typeface="+mn-ea"/>
              <a:cs typeface="+mn-cs"/>
            </a:rPr>
            <a:t>25</a:t>
          </a:r>
          <a:r>
            <a:rPr lang="fr-FR" sz="1200" b="0">
              <a:solidFill>
                <a:schemeClr val="bg1">
                  <a:lumMod val="50000"/>
                </a:schemeClr>
              </a:solidFill>
              <a:latin typeface="Calibri" pitchFamily="34" charset="0"/>
              <a:ea typeface="+mn-ea"/>
              <a:cs typeface="+mn-cs"/>
            </a:rPr>
            <a:t> départs en 2019</a:t>
          </a:r>
        </a:p>
        <a:p>
          <a:pPr marL="0" indent="0" algn="l"/>
          <a:r>
            <a:rPr lang="fr-FR" sz="1200" b="0">
              <a:solidFill>
                <a:schemeClr val="bg1">
                  <a:lumMod val="50000"/>
                </a:schemeClr>
              </a:solidFill>
              <a:latin typeface="Calibri" pitchFamily="34" charset="0"/>
              <a:ea typeface="+mn-ea"/>
              <a:cs typeface="+mn-cs"/>
            </a:rPr>
            <a:t>9 Enseignants		9 Enseignants</a:t>
          </a:r>
        </a:p>
        <a:p>
          <a:pPr marL="0" indent="0" algn="l"/>
          <a:r>
            <a:rPr lang="fr-FR" sz="1200" b="0">
              <a:solidFill>
                <a:schemeClr val="bg1">
                  <a:lumMod val="50000"/>
                </a:schemeClr>
              </a:solidFill>
              <a:latin typeface="Calibri" pitchFamily="34" charset="0"/>
              <a:ea typeface="+mn-ea"/>
              <a:cs typeface="+mn-cs"/>
            </a:rPr>
            <a:t>12 BIATSS		16 BIATSS</a:t>
          </a:r>
        </a:p>
        <a:p>
          <a:pPr marL="0" indent="0" algn="r"/>
          <a:endParaRPr lang="fr-FR" sz="1200" b="0">
            <a:solidFill>
              <a:schemeClr val="bg1">
                <a:lumMod val="50000"/>
              </a:schemeClr>
            </a:solidFill>
            <a:latin typeface="Calibri" pitchFamily="34" charset="0"/>
            <a:ea typeface="+mn-ea"/>
            <a:cs typeface="+mn-cs"/>
          </a:endParaRPr>
        </a:p>
        <a:p>
          <a:pPr marL="0" indent="0" algn="r"/>
          <a:endParaRPr lang="fr-FR" sz="1200" b="0">
            <a:solidFill>
              <a:schemeClr val="bg1">
                <a:lumMod val="50000"/>
              </a:schemeClr>
            </a:solidFill>
            <a:latin typeface="Calibri" pitchFamily="34" charset="0"/>
            <a:ea typeface="+mn-ea"/>
            <a:cs typeface="+mn-cs"/>
          </a:endParaRPr>
        </a:p>
        <a:p>
          <a:pPr marL="0" indent="0" algn="r"/>
          <a:endParaRPr lang="fr-FR" sz="1200" b="0">
            <a:solidFill>
              <a:schemeClr val="bg1">
                <a:lumMod val="50000"/>
              </a:schemeClr>
            </a:solidFill>
            <a:latin typeface="Calibri" pitchFamily="34" charset="0"/>
            <a:ea typeface="+mn-ea"/>
            <a:cs typeface="+mn-cs"/>
          </a:endParaRPr>
        </a:p>
      </xdr:txBody>
    </xdr:sp>
    <xdr:clientData/>
  </xdr:twoCellAnchor>
  <xdr:twoCellAnchor>
    <xdr:from>
      <xdr:col>8</xdr:col>
      <xdr:colOff>568960</xdr:colOff>
      <xdr:row>7</xdr:row>
      <xdr:rowOff>1060</xdr:rowOff>
    </xdr:from>
    <xdr:to>
      <xdr:col>12</xdr:col>
      <xdr:colOff>546100</xdr:colOff>
      <xdr:row>9</xdr:row>
      <xdr:rowOff>88900</xdr:rowOff>
    </xdr:to>
    <xdr:sp macro="" textlink="">
      <xdr:nvSpPr>
        <xdr:cNvPr id="8" name="ZoneTexte 7">
          <a:extLst>
            <a:ext uri="{FF2B5EF4-FFF2-40B4-BE49-F238E27FC236}">
              <a16:creationId xmlns:a16="http://schemas.microsoft.com/office/drawing/2014/main" id="{00000000-0008-0000-1400-000008000000}"/>
            </a:ext>
          </a:extLst>
        </xdr:cNvPr>
        <xdr:cNvSpPr txBox="1"/>
      </xdr:nvSpPr>
      <xdr:spPr>
        <a:xfrm>
          <a:off x="6156960" y="1112310"/>
          <a:ext cx="2771140" cy="389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900" b="0">
            <a:solidFill>
              <a:schemeClr val="bg1">
                <a:lumMod val="50000"/>
              </a:schemeClr>
            </a:solidFill>
            <a:latin typeface="Calibri" pitchFamily="34"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394123</xdr:colOff>
      <xdr:row>2</xdr:row>
      <xdr:rowOff>194440</xdr:rowOff>
    </xdr:from>
    <xdr:to>
      <xdr:col>11</xdr:col>
      <xdr:colOff>656167</xdr:colOff>
      <xdr:row>16</xdr:row>
      <xdr:rowOff>154517</xdr:rowOff>
    </xdr:to>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8998373" y="723607"/>
          <a:ext cx="2484544" cy="244716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fr-FR" sz="1100">
              <a:solidFill>
                <a:schemeClr val="bg1">
                  <a:lumMod val="50000"/>
                </a:schemeClr>
              </a:solidFill>
              <a:latin typeface="Calibri" pitchFamily="34" charset="0"/>
              <a:ea typeface="+mn-ea"/>
              <a:cs typeface="+mn-cs"/>
            </a:rPr>
            <a:t>Plafond d'emplois 2022</a:t>
          </a:r>
        </a:p>
        <a:p>
          <a:endParaRPr lang="fr-FR" sz="1100" baseline="0">
            <a:solidFill>
              <a:schemeClr val="bg1">
                <a:lumMod val="50000"/>
              </a:schemeClr>
            </a:solidFill>
          </a:endParaRPr>
        </a:p>
        <a:p>
          <a:endParaRPr lang="fr-FR" sz="1100" baseline="0">
            <a:solidFill>
              <a:schemeClr val="bg1">
                <a:lumMod val="50000"/>
              </a:schemeClr>
            </a:solidFill>
          </a:endParaRPr>
        </a:p>
        <a:p>
          <a:pPr marL="0" indent="0" algn="r"/>
          <a:r>
            <a:rPr lang="fr-FR" sz="4000" baseline="0">
              <a:solidFill>
                <a:srgbClr val="00B050"/>
              </a:solidFill>
              <a:latin typeface="Calibri" pitchFamily="34" charset="0"/>
              <a:ea typeface="+mn-ea"/>
              <a:cs typeface="+mn-cs"/>
            </a:rPr>
            <a:t>1574,85</a:t>
          </a:r>
          <a:r>
            <a:rPr lang="fr-FR" sz="1100" baseline="0">
              <a:solidFill>
                <a:schemeClr val="bg1">
                  <a:lumMod val="50000"/>
                </a:schemeClr>
              </a:solidFill>
            </a:rPr>
            <a:t> </a:t>
          </a:r>
          <a:r>
            <a:rPr lang="fr-FR" sz="1100">
              <a:solidFill>
                <a:schemeClr val="bg1">
                  <a:lumMod val="50000"/>
                </a:schemeClr>
              </a:solidFill>
              <a:latin typeface="Calibri" pitchFamily="34" charset="0"/>
              <a:ea typeface="+mn-ea"/>
              <a:cs typeface="+mn-cs"/>
            </a:rPr>
            <a:t>ETPT</a:t>
          </a:r>
        </a:p>
        <a:p>
          <a:pPr marL="0" marR="0" indent="0" algn="r" defTabSz="914400" eaLnBrk="1" fontAlgn="auto" latinLnBrk="0" hangingPunct="1">
            <a:lnSpc>
              <a:spcPct val="100000"/>
            </a:lnSpc>
            <a:spcBef>
              <a:spcPts val="0"/>
            </a:spcBef>
            <a:spcAft>
              <a:spcPts val="0"/>
            </a:spcAft>
            <a:buClrTx/>
            <a:buSzTx/>
            <a:buFontTx/>
            <a:buNone/>
            <a:tabLst/>
            <a:defRPr/>
          </a:pPr>
          <a:endParaRPr lang="fr-FR" sz="110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100">
              <a:solidFill>
                <a:schemeClr val="bg1">
                  <a:lumMod val="50000"/>
                </a:schemeClr>
              </a:solidFill>
              <a:latin typeface="Calibri" pitchFamily="34" charset="0"/>
              <a:ea typeface="+mn-ea"/>
              <a:cs typeface="+mn-cs"/>
            </a:rPr>
            <a:t>L'UJM consomme </a:t>
          </a:r>
          <a:r>
            <a:rPr lang="fr-FR" sz="2400">
              <a:solidFill>
                <a:srgbClr val="00B050"/>
              </a:solidFill>
              <a:latin typeface="Calibri" pitchFamily="34" charset="0"/>
              <a:ea typeface="+mn-ea"/>
              <a:cs typeface="+mn-cs"/>
            </a:rPr>
            <a:t>99,10</a:t>
          </a:r>
          <a:r>
            <a:rPr lang="fr-FR" sz="2400">
              <a:solidFill>
                <a:schemeClr val="bg1">
                  <a:lumMod val="50000"/>
                </a:schemeClr>
              </a:solidFill>
              <a:latin typeface="Calibri" pitchFamily="34" charset="0"/>
              <a:ea typeface="+mn-ea"/>
              <a:cs typeface="+mn-cs"/>
            </a:rPr>
            <a:t>%</a:t>
          </a:r>
          <a:r>
            <a:rPr lang="fr-FR" sz="1100">
              <a:solidFill>
                <a:schemeClr val="bg1">
                  <a:lumMod val="50000"/>
                </a:schemeClr>
              </a:solidFill>
              <a:latin typeface="Calibri" pitchFamily="34" charset="0"/>
              <a:ea typeface="+mn-ea"/>
              <a:cs typeface="+mn-cs"/>
            </a:rPr>
            <a:t> de son plafond d'emplois</a:t>
          </a:r>
        </a:p>
        <a:p>
          <a:pPr marL="0" indent="0" algn="r"/>
          <a:endParaRPr lang="fr-FR" sz="1100">
            <a:solidFill>
              <a:schemeClr val="bg1">
                <a:lumMod val="50000"/>
              </a:schemeClr>
            </a:solidFill>
            <a:latin typeface="Calibri" pitchFamily="34" charset="0"/>
            <a:ea typeface="+mn-ea"/>
            <a:cs typeface="+mn-cs"/>
          </a:endParaRPr>
        </a:p>
      </xdr:txBody>
    </xdr:sp>
    <xdr:clientData/>
  </xdr:twoCellAnchor>
  <xdr:twoCellAnchor>
    <xdr:from>
      <xdr:col>0</xdr:col>
      <xdr:colOff>8499</xdr:colOff>
      <xdr:row>29</xdr:row>
      <xdr:rowOff>76200</xdr:rowOff>
    </xdr:from>
    <xdr:to>
      <xdr:col>10</xdr:col>
      <xdr:colOff>507781</xdr:colOff>
      <xdr:row>36</xdr:row>
      <xdr:rowOff>60960</xdr:rowOff>
    </xdr:to>
    <xdr:sp macro="" textlink="">
      <xdr:nvSpPr>
        <xdr:cNvPr id="3" name="ZoneTexte 2">
          <a:extLst>
            <a:ext uri="{FF2B5EF4-FFF2-40B4-BE49-F238E27FC236}">
              <a16:creationId xmlns:a16="http://schemas.microsoft.com/office/drawing/2014/main" id="{00000000-0008-0000-0300-000003000000}"/>
            </a:ext>
          </a:extLst>
        </xdr:cNvPr>
        <xdr:cNvSpPr txBox="1"/>
      </xdr:nvSpPr>
      <xdr:spPr>
        <a:xfrm>
          <a:off x="8499" y="4792980"/>
          <a:ext cx="9940462" cy="8915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fr-FR" sz="800">
              <a:solidFill>
                <a:schemeClr val="bg1">
                  <a:lumMod val="50000"/>
                </a:schemeClr>
              </a:solidFill>
              <a:latin typeface="Calibri" pitchFamily="34" charset="0"/>
              <a:ea typeface="+mn-ea"/>
              <a:cs typeface="+mn-cs"/>
            </a:rPr>
            <a:t>La consommation d'emplois au titre d'une année est  égale à la moyenne  des consommations  mensuelles.</a:t>
          </a:r>
        </a:p>
        <a:p>
          <a:pPr algn="l"/>
          <a:r>
            <a:rPr lang="fr-FR" sz="800">
              <a:solidFill>
                <a:schemeClr val="bg1">
                  <a:lumMod val="50000"/>
                </a:schemeClr>
              </a:solidFill>
              <a:latin typeface="Calibri" pitchFamily="34" charset="0"/>
              <a:ea typeface="+mn-ea"/>
              <a:cs typeface="+mn-cs"/>
            </a:rPr>
            <a:t>Les écarts  entre  les plafonds d'autorisation et les moyennes s'expliquent principalement par deux phénomènes :</a:t>
          </a:r>
        </a:p>
        <a:p>
          <a:pPr algn="l"/>
          <a:r>
            <a:rPr lang="fr-FR" sz="800">
              <a:solidFill>
                <a:schemeClr val="bg1">
                  <a:lumMod val="50000"/>
                </a:schemeClr>
              </a:solidFill>
              <a:latin typeface="Calibri" pitchFamily="34" charset="0"/>
              <a:ea typeface="+mn-ea"/>
              <a:cs typeface="+mn-cs"/>
            </a:rPr>
            <a:t>- les postes laissés provisoirement vacants </a:t>
          </a:r>
        </a:p>
        <a:p>
          <a:pPr algn="l"/>
          <a:r>
            <a:rPr lang="fr-FR" sz="800">
              <a:solidFill>
                <a:schemeClr val="bg1">
                  <a:lumMod val="50000"/>
                </a:schemeClr>
              </a:solidFill>
              <a:latin typeface="Calibri" pitchFamily="34" charset="0"/>
              <a:ea typeface="+mn-ea"/>
              <a:cs typeface="+mn-cs"/>
            </a:rPr>
            <a:t>- les rappels de paie (décalage entre la date d'un contrat et la prise en charge de l'agent dans la paie) qui ne se décomptent pas du plafond d'emploi.</a:t>
          </a:r>
        </a:p>
        <a:p>
          <a:r>
            <a:rPr lang="fr-FR" sz="800">
              <a:solidFill>
                <a:schemeClr val="bg1">
                  <a:lumMod val="50000"/>
                </a:schemeClr>
              </a:solidFill>
              <a:latin typeface="Calibri" pitchFamily="34" charset="0"/>
              <a:ea typeface="+mn-ea"/>
              <a:cs typeface="+mn-cs"/>
            </a:rPr>
            <a:t>A ces deux raisons, s'ajoute une troisième pour les  emplois ressources propres :  le plafond étant défini par l'UJM, il est fixé prudemment au dessus de nos besoins pour tenir compte du caractère difficilement prévisible des contrats SAIC et des contrats recherche.</a:t>
          </a:r>
        </a:p>
      </xdr:txBody>
    </xdr:sp>
    <xdr:clientData/>
  </xdr:twoCellAnchor>
  <xdr:twoCellAnchor>
    <xdr:from>
      <xdr:col>0</xdr:col>
      <xdr:colOff>121186</xdr:colOff>
      <xdr:row>19</xdr:row>
      <xdr:rowOff>87631</xdr:rowOff>
    </xdr:from>
    <xdr:to>
      <xdr:col>7</xdr:col>
      <xdr:colOff>15239</xdr:colOff>
      <xdr:row>28</xdr:row>
      <xdr:rowOff>91440</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121186" y="3402331"/>
          <a:ext cx="7277833" cy="1276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aseline="0">
              <a:solidFill>
                <a:schemeClr val="bg1">
                  <a:lumMod val="50000"/>
                </a:schemeClr>
              </a:solidFill>
              <a:latin typeface="Calibri" pitchFamily="34" charset="0"/>
              <a:ea typeface="+mn-ea"/>
              <a:cs typeface="+mn-cs"/>
            </a:rPr>
            <a:t>La variation du plafond d'emplois Etat entre </a:t>
          </a:r>
          <a:r>
            <a:rPr lang="fr-FR" sz="800" baseline="0">
              <a:solidFill>
                <a:srgbClr val="00B050"/>
              </a:solidFill>
              <a:latin typeface="Calibri" pitchFamily="34" charset="0"/>
              <a:ea typeface="+mn-ea"/>
              <a:cs typeface="+mn-cs"/>
            </a:rPr>
            <a:t>2021</a:t>
          </a:r>
          <a:r>
            <a:rPr lang="fr-FR" sz="800" baseline="0">
              <a:solidFill>
                <a:srgbClr val="A8AABC"/>
              </a:solidFill>
              <a:latin typeface="Calibri" pitchFamily="34" charset="0"/>
              <a:ea typeface="+mn-ea"/>
              <a:cs typeface="+mn-cs"/>
            </a:rPr>
            <a:t> </a:t>
          </a:r>
          <a:r>
            <a:rPr lang="fr-FR" sz="800" baseline="0">
              <a:solidFill>
                <a:schemeClr val="bg1">
                  <a:lumMod val="50000"/>
                </a:schemeClr>
              </a:solidFill>
              <a:latin typeface="Calibri" pitchFamily="34" charset="0"/>
              <a:ea typeface="+mn-ea"/>
              <a:cs typeface="+mn-cs"/>
            </a:rPr>
            <a:t>et</a:t>
          </a:r>
          <a:r>
            <a:rPr lang="fr-FR" sz="800" baseline="0">
              <a:solidFill>
                <a:srgbClr val="A8AABC"/>
              </a:solidFill>
              <a:latin typeface="Calibri" pitchFamily="34" charset="0"/>
              <a:ea typeface="+mn-ea"/>
              <a:cs typeface="+mn-cs"/>
            </a:rPr>
            <a:t> </a:t>
          </a:r>
          <a:r>
            <a:rPr lang="fr-FR" sz="800" baseline="0">
              <a:solidFill>
                <a:srgbClr val="00B050"/>
              </a:solidFill>
              <a:latin typeface="Calibri" pitchFamily="34" charset="0"/>
              <a:ea typeface="+mn-ea"/>
              <a:cs typeface="+mn-cs"/>
            </a:rPr>
            <a:t>2022</a:t>
          </a:r>
          <a:r>
            <a:rPr lang="fr-FR" sz="800" baseline="0">
              <a:solidFill>
                <a:srgbClr val="A8AABC"/>
              </a:solidFill>
              <a:latin typeface="Calibri" pitchFamily="34" charset="0"/>
              <a:ea typeface="+mn-ea"/>
              <a:cs typeface="+mn-cs"/>
            </a:rPr>
            <a:t> </a:t>
          </a:r>
          <a:r>
            <a:rPr lang="fr-FR" sz="800" baseline="0">
              <a:solidFill>
                <a:schemeClr val="bg1">
                  <a:lumMod val="50000"/>
                </a:schemeClr>
              </a:solidFill>
              <a:latin typeface="Calibri" pitchFamily="34" charset="0"/>
              <a:ea typeface="+mn-ea"/>
              <a:cs typeface="+mn-cs"/>
            </a:rPr>
            <a:t>se concrétise par:</a:t>
          </a:r>
        </a:p>
        <a:p>
          <a:endParaRPr lang="fr-FR" sz="800" baseline="0">
            <a:solidFill>
              <a:srgbClr val="A8AABC"/>
            </a:solidFill>
            <a:latin typeface="Calibri"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800" baseline="0" noProof="0">
              <a:solidFill>
                <a:srgbClr val="00B050"/>
              </a:solidFill>
              <a:latin typeface="Calibri" pitchFamily="34" charset="0"/>
              <a:ea typeface="+mn-ea"/>
              <a:cs typeface="+mn-cs"/>
            </a:rPr>
            <a:t>- le réhaussement du plafond d'emplois Etat de l'étalissement de 12 ETPT ;</a:t>
          </a:r>
        </a:p>
        <a:p>
          <a:pPr marL="0" marR="0" indent="0" defTabSz="914400" eaLnBrk="1" fontAlgn="auto" latinLnBrk="0" hangingPunct="1">
            <a:lnSpc>
              <a:spcPct val="100000"/>
            </a:lnSpc>
            <a:spcBef>
              <a:spcPts val="0"/>
            </a:spcBef>
            <a:spcAft>
              <a:spcPts val="0"/>
            </a:spcAft>
            <a:buClrTx/>
            <a:buSzTx/>
            <a:buFontTx/>
            <a:buNone/>
            <a:tabLst/>
            <a:defRPr/>
          </a:pPr>
          <a:endParaRPr lang="fr-FR" sz="800" baseline="0" noProof="0">
            <a:solidFill>
              <a:srgbClr val="00B050"/>
            </a:solidFill>
            <a:latin typeface="Calibri"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800" baseline="0" noProof="0">
              <a:solidFill>
                <a:srgbClr val="00B050"/>
              </a:solidFill>
              <a:latin typeface="Calibri" pitchFamily="34" charset="0"/>
              <a:ea typeface="+mn-ea"/>
              <a:cs typeface="+mn-cs"/>
            </a:rPr>
            <a:t>- l'attribution de 3 contrats doctorants sur 1/3 d'année en 2022 dans le cadre la LPR ;</a:t>
          </a:r>
        </a:p>
        <a:p>
          <a:pPr marL="0" marR="0" indent="0" defTabSz="914400" eaLnBrk="1" fontAlgn="auto" latinLnBrk="0" hangingPunct="1">
            <a:lnSpc>
              <a:spcPct val="100000"/>
            </a:lnSpc>
            <a:spcBef>
              <a:spcPts val="0"/>
            </a:spcBef>
            <a:spcAft>
              <a:spcPts val="0"/>
            </a:spcAft>
            <a:buClrTx/>
            <a:buSzTx/>
            <a:buFontTx/>
            <a:buNone/>
            <a:tabLst/>
            <a:defRPr/>
          </a:pPr>
          <a:endParaRPr lang="fr-FR" sz="800" baseline="0" noProof="0">
            <a:solidFill>
              <a:srgbClr val="00B050"/>
            </a:solidFill>
            <a:latin typeface="Calibri"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800" baseline="0" noProof="0">
              <a:solidFill>
                <a:srgbClr val="00B050"/>
              </a:solidFill>
              <a:latin typeface="Calibri" pitchFamily="34" charset="0"/>
              <a:ea typeface="+mn-ea"/>
              <a:cs typeface="+mn-cs"/>
            </a:rPr>
            <a:t>- la variatiobn des personnel de -0,5 ETPT.</a:t>
          </a:r>
        </a:p>
      </xdr:txBody>
    </xdr:sp>
    <xdr:clientData/>
  </xdr:twoCellAnchor>
  <xdr:twoCellAnchor>
    <xdr:from>
      <xdr:col>0</xdr:col>
      <xdr:colOff>165101</xdr:colOff>
      <xdr:row>3</xdr:row>
      <xdr:rowOff>85969</xdr:rowOff>
    </xdr:from>
    <xdr:to>
      <xdr:col>8</xdr:col>
      <xdr:colOff>387556</xdr:colOff>
      <xdr:row>10</xdr:row>
      <xdr:rowOff>13139</xdr:rowOff>
    </xdr:to>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165101" y="860669"/>
          <a:ext cx="7778955" cy="866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a:solidFill>
                <a:schemeClr val="bg1">
                  <a:lumMod val="50000"/>
                </a:schemeClr>
              </a:solidFill>
              <a:latin typeface="Calibri" pitchFamily="34" charset="0"/>
              <a:ea typeface="+mn-ea"/>
              <a:cs typeface="+mn-cs"/>
            </a:rPr>
            <a:t>Le plafond, voté par le Conseil d'Administration,  est composé :</a:t>
          </a:r>
        </a:p>
        <a:p>
          <a:r>
            <a:rPr lang="fr-FR" sz="800">
              <a:solidFill>
                <a:schemeClr val="bg1">
                  <a:lumMod val="50000"/>
                </a:schemeClr>
              </a:solidFill>
              <a:latin typeface="Calibri" pitchFamily="34" charset="0"/>
              <a:ea typeface="+mn-ea"/>
              <a:cs typeface="+mn-cs"/>
            </a:rPr>
            <a:t>- du plafond</a:t>
          </a:r>
          <a:r>
            <a:rPr lang="fr-FR" sz="800" baseline="0">
              <a:solidFill>
                <a:schemeClr val="bg1">
                  <a:lumMod val="50000"/>
                </a:schemeClr>
              </a:solidFill>
              <a:latin typeface="Calibri" pitchFamily="34" charset="0"/>
              <a:ea typeface="+mn-ea"/>
              <a:cs typeface="+mn-cs"/>
            </a:rPr>
            <a:t> d'emplois sur ressources de l'Etat fixé par le Ministère</a:t>
          </a:r>
        </a:p>
        <a:p>
          <a:r>
            <a:rPr lang="fr-FR" sz="800">
              <a:solidFill>
                <a:schemeClr val="bg1">
                  <a:lumMod val="50000"/>
                </a:schemeClr>
              </a:solidFill>
              <a:latin typeface="Calibri" pitchFamily="34" charset="0"/>
              <a:ea typeface="+mn-ea"/>
              <a:cs typeface="+mn-cs"/>
            </a:rPr>
            <a:t>- des emplois sur ressources propres que l'établissement peut faire varier.</a:t>
          </a:r>
        </a:p>
        <a:p>
          <a:r>
            <a:rPr lang="fr-FR" sz="800">
              <a:solidFill>
                <a:schemeClr val="bg1">
                  <a:lumMod val="50000"/>
                </a:schemeClr>
              </a:solidFill>
              <a:latin typeface="Calibri" pitchFamily="34" charset="0"/>
              <a:ea typeface="+mn-ea"/>
              <a:cs typeface="+mn-cs"/>
            </a:rPr>
            <a:t>Il est exprimé en équivalent temps plein annuel travaillé (ETPT), ce qui signifie qu’un agent est comptabilisé au prorata de ses horaires de travail (temps partiel, temps plein, etc.) et de sa durée de travail dans l’année (en fonction de la date du recrutement, par exemple).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9524</xdr:colOff>
      <xdr:row>43</xdr:row>
      <xdr:rowOff>236220</xdr:rowOff>
    </xdr:from>
    <xdr:to>
      <xdr:col>16</xdr:col>
      <xdr:colOff>1226819</xdr:colOff>
      <xdr:row>54</xdr:row>
      <xdr:rowOff>28575</xdr:rowOff>
    </xdr:to>
    <xdr:graphicFrame macro="">
      <xdr:nvGraphicFramePr>
        <xdr:cNvPr id="6434464" name="Graphique 19">
          <a:extLst>
            <a:ext uri="{FF2B5EF4-FFF2-40B4-BE49-F238E27FC236}">
              <a16:creationId xmlns:a16="http://schemas.microsoft.com/office/drawing/2014/main" id="{00000000-0008-0000-1500-0000A02E6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544013</xdr:colOff>
      <xdr:row>2</xdr:row>
      <xdr:rowOff>102871</xdr:rowOff>
    </xdr:from>
    <xdr:to>
      <xdr:col>15</xdr:col>
      <xdr:colOff>514350</xdr:colOff>
      <xdr:row>12</xdr:row>
      <xdr:rowOff>123825</xdr:rowOff>
    </xdr:to>
    <xdr:sp macro="" textlink="">
      <xdr:nvSpPr>
        <xdr:cNvPr id="25" name="ZoneTexte 24">
          <a:extLst>
            <a:ext uri="{FF2B5EF4-FFF2-40B4-BE49-F238E27FC236}">
              <a16:creationId xmlns:a16="http://schemas.microsoft.com/office/drawing/2014/main" id="{00000000-0008-0000-1500-000019000000}"/>
            </a:ext>
          </a:extLst>
        </xdr:cNvPr>
        <xdr:cNvSpPr txBox="1"/>
      </xdr:nvSpPr>
      <xdr:spPr>
        <a:xfrm>
          <a:off x="6916238" y="521971"/>
          <a:ext cx="2818312" cy="13544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endParaRPr lang="fr-FR" sz="1200" b="0">
            <a:solidFill>
              <a:schemeClr val="bg1">
                <a:lumMod val="50000"/>
              </a:schemeClr>
            </a:solidFill>
            <a:latin typeface="Calibri" pitchFamily="34" charset="0"/>
            <a:ea typeface="+mn-ea"/>
            <a:cs typeface="+mn-cs"/>
          </a:endParaRPr>
        </a:p>
        <a:p>
          <a:pPr algn="r"/>
          <a:r>
            <a:rPr lang="fr-FR" sz="2400" b="0">
              <a:solidFill>
                <a:schemeClr val="bg1">
                  <a:lumMod val="50000"/>
                </a:schemeClr>
              </a:solidFill>
              <a:latin typeface="Calibri" pitchFamily="34" charset="0"/>
              <a:ea typeface="+mn-ea"/>
              <a:cs typeface="+mn-cs"/>
            </a:rPr>
            <a:t>L</a:t>
          </a:r>
          <a:r>
            <a:rPr lang="fr-FR" sz="1200" b="0">
              <a:solidFill>
                <a:schemeClr val="bg1">
                  <a:lumMod val="50000"/>
                </a:schemeClr>
              </a:solidFill>
              <a:latin typeface="Calibri" pitchFamily="34" charset="0"/>
              <a:ea typeface="+mn-ea"/>
              <a:cs typeface="+mn-cs"/>
            </a:rPr>
            <a:t>es femmes sont moins représentées dans la population enseignante et plus particulièrement,</a:t>
          </a:r>
          <a:r>
            <a:rPr lang="fr-FR" sz="1200" b="0" baseline="0">
              <a:solidFill>
                <a:schemeClr val="bg1">
                  <a:lumMod val="50000"/>
                </a:schemeClr>
              </a:solidFill>
              <a:latin typeface="Calibri" pitchFamily="34" charset="0"/>
              <a:ea typeface="+mn-ea"/>
              <a:cs typeface="+mn-cs"/>
            </a:rPr>
            <a:t> chez les professeurs et les enseignants hospitalo-universitaires</a:t>
          </a:r>
          <a:r>
            <a:rPr lang="fr-FR" sz="1200" b="0">
              <a:solidFill>
                <a:schemeClr val="bg1">
                  <a:lumMod val="50000"/>
                </a:schemeClr>
              </a:solidFill>
              <a:latin typeface="Calibri" pitchFamily="34" charset="0"/>
              <a:ea typeface="+mn-ea"/>
              <a:cs typeface="+mn-cs"/>
            </a:rPr>
            <a:t>.</a:t>
          </a:r>
        </a:p>
      </xdr:txBody>
    </xdr:sp>
    <xdr:clientData/>
  </xdr:twoCellAnchor>
  <xdr:twoCellAnchor>
    <xdr:from>
      <xdr:col>0</xdr:col>
      <xdr:colOff>1168852</xdr:colOff>
      <xdr:row>68</xdr:row>
      <xdr:rowOff>153763</xdr:rowOff>
    </xdr:from>
    <xdr:to>
      <xdr:col>9</xdr:col>
      <xdr:colOff>123825</xdr:colOff>
      <xdr:row>80</xdr:row>
      <xdr:rowOff>1</xdr:rowOff>
    </xdr:to>
    <xdr:sp macro="" textlink="">
      <xdr:nvSpPr>
        <xdr:cNvPr id="18" name="ZoneTexte 17">
          <a:extLst>
            <a:ext uri="{FF2B5EF4-FFF2-40B4-BE49-F238E27FC236}">
              <a16:creationId xmlns:a16="http://schemas.microsoft.com/office/drawing/2014/main" id="{00000000-0008-0000-1500-000012000000}"/>
            </a:ext>
          </a:extLst>
        </xdr:cNvPr>
        <xdr:cNvSpPr txBox="1"/>
      </xdr:nvSpPr>
      <xdr:spPr>
        <a:xfrm>
          <a:off x="1168852" y="11117038"/>
          <a:ext cx="4393748" cy="1598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ts val="1200"/>
            </a:lnSpc>
            <a:spcBef>
              <a:spcPts val="0"/>
            </a:spcBef>
            <a:spcAft>
              <a:spcPts val="0"/>
            </a:spcAft>
            <a:buClrTx/>
            <a:buSzTx/>
            <a:buFontTx/>
            <a:buNone/>
            <a:tabLst/>
            <a:defRPr/>
          </a:pPr>
          <a:r>
            <a:rPr lang="fr-FR" sz="1200" b="0">
              <a:solidFill>
                <a:schemeClr val="bg1">
                  <a:lumMod val="50000"/>
                </a:schemeClr>
              </a:solidFill>
              <a:latin typeface="Calibri" pitchFamily="34" charset="0"/>
              <a:ea typeface="+mn-ea"/>
              <a:cs typeface="+mn-cs"/>
            </a:rPr>
            <a:t>Les femmes sont très majoritaires chez les</a:t>
          </a:r>
          <a:r>
            <a:rPr lang="fr-FR" sz="1200" b="0" baseline="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BIATSS.</a:t>
          </a:r>
        </a:p>
        <a:p>
          <a:pPr marL="0" marR="0" indent="0" algn="r" defTabSz="914400" eaLnBrk="1" fontAlgn="auto" latinLnBrk="0" hangingPunct="1">
            <a:lnSpc>
              <a:spcPct val="100000"/>
            </a:lnSpc>
            <a:spcBef>
              <a:spcPts val="0"/>
            </a:spcBef>
            <a:spcAft>
              <a:spcPts val="0"/>
            </a:spcAft>
            <a:buClrTx/>
            <a:buSzTx/>
            <a:buFontTx/>
            <a:buNone/>
            <a:tabLst/>
            <a:defRPr/>
          </a:pPr>
          <a:r>
            <a:rPr lang="fr-FR" sz="1200" b="0">
              <a:solidFill>
                <a:schemeClr val="bg1">
                  <a:lumMod val="50000"/>
                </a:schemeClr>
              </a:solidFill>
              <a:latin typeface="Calibri" pitchFamily="34" charset="0"/>
              <a:ea typeface="+mn-ea"/>
              <a:cs typeface="+mn-cs"/>
            </a:rPr>
            <a:t>Elles représentent </a:t>
          </a:r>
          <a:r>
            <a:rPr lang="fr-FR" sz="2400" b="0">
              <a:solidFill>
                <a:srgbClr val="00B050"/>
              </a:solidFill>
              <a:latin typeface="Calibri" pitchFamily="34" charset="0"/>
              <a:ea typeface="+mn-ea"/>
              <a:cs typeface="+mn-cs"/>
            </a:rPr>
            <a:t>70</a:t>
          </a:r>
          <a:r>
            <a:rPr lang="fr-FR" sz="2400" b="0">
              <a:solidFill>
                <a:schemeClr val="bg1">
                  <a:lumMod val="50000"/>
                </a:schemeClr>
              </a:solidFill>
              <a:latin typeface="Calibri" pitchFamily="34" charset="0"/>
              <a:ea typeface="+mn-ea"/>
              <a:cs typeface="+mn-cs"/>
            </a:rPr>
            <a:t>%</a:t>
          </a:r>
        </a:p>
        <a:p>
          <a:pPr marL="0" marR="0" indent="0" algn="r" defTabSz="914400" eaLnBrk="1" fontAlgn="auto" latinLnBrk="0" hangingPunct="1">
            <a:lnSpc>
              <a:spcPts val="1200"/>
            </a:lnSpc>
            <a:spcBef>
              <a:spcPts val="0"/>
            </a:spcBef>
            <a:spcAft>
              <a:spcPts val="0"/>
            </a:spcAft>
            <a:buClrTx/>
            <a:buSzTx/>
            <a:buFontTx/>
            <a:buNone/>
            <a:tabLst/>
            <a:defRPr/>
          </a:pPr>
          <a:r>
            <a:rPr lang="fr-FR" sz="1200" b="0">
              <a:solidFill>
                <a:schemeClr val="bg1">
                  <a:lumMod val="50000"/>
                </a:schemeClr>
              </a:solidFill>
              <a:latin typeface="Calibri" pitchFamily="34" charset="0"/>
              <a:ea typeface="+mn-ea"/>
              <a:cs typeface="+mn-cs"/>
            </a:rPr>
            <a:t>de la population BIATSS</a:t>
          </a:r>
        </a:p>
        <a:p>
          <a:pPr marL="0" marR="0" indent="0" algn="r" defTabSz="914400" eaLnBrk="1" fontAlgn="auto" latinLnBrk="0" hangingPunct="1">
            <a:lnSpc>
              <a:spcPts val="1200"/>
            </a:lnSpc>
            <a:spcBef>
              <a:spcPts val="0"/>
            </a:spcBef>
            <a:spcAft>
              <a:spcPts val="0"/>
            </a:spcAft>
            <a:buClrTx/>
            <a:buSzTx/>
            <a:buFontTx/>
            <a:buNone/>
            <a:tabLst/>
            <a:defRPr/>
          </a:pPr>
          <a:r>
            <a:rPr lang="fr-FR" sz="1200" b="0">
              <a:solidFill>
                <a:schemeClr val="bg1">
                  <a:lumMod val="50000"/>
                </a:schemeClr>
              </a:solidFill>
              <a:latin typeface="Calibri" pitchFamily="34" charset="0"/>
              <a:ea typeface="+mn-ea"/>
              <a:cs typeface="+mn-cs"/>
            </a:rPr>
            <a:t> </a:t>
          </a:r>
        </a:p>
        <a:p>
          <a:pPr marL="0" marR="0" indent="0" algn="r" defTabSz="914400" eaLnBrk="1" fontAlgn="auto" latinLnBrk="0" hangingPunct="1">
            <a:lnSpc>
              <a:spcPts val="1100"/>
            </a:lnSpc>
            <a:spcBef>
              <a:spcPts val="0"/>
            </a:spcBef>
            <a:spcAft>
              <a:spcPts val="0"/>
            </a:spcAft>
            <a:buClrTx/>
            <a:buSzTx/>
            <a:buFontTx/>
            <a:buNone/>
            <a:tabLst/>
            <a:defRPr/>
          </a:pPr>
          <a:endParaRPr lang="fr-FR" sz="12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2400" b="0">
              <a:solidFill>
                <a:srgbClr val="00B050"/>
              </a:solidFill>
              <a:latin typeface="Calibri" pitchFamily="34" charset="0"/>
              <a:ea typeface="+mn-ea"/>
              <a:cs typeface="+mn-cs"/>
            </a:rPr>
            <a:t>60</a:t>
          </a:r>
          <a:r>
            <a:rPr lang="fr-FR" sz="24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 des personnels d'encadrement sont des femmes (57%</a:t>
          </a:r>
          <a:r>
            <a:rPr lang="fr-FR" sz="1200" b="0" baseline="0">
              <a:solidFill>
                <a:schemeClr val="bg1">
                  <a:lumMod val="50000"/>
                </a:schemeClr>
              </a:solidFill>
              <a:latin typeface="Calibri" pitchFamily="34" charset="0"/>
              <a:ea typeface="+mn-ea"/>
              <a:cs typeface="+mn-cs"/>
            </a:rPr>
            <a:t> en 2020)</a:t>
          </a:r>
          <a:r>
            <a:rPr lang="fr-FR" sz="1200" b="0">
              <a:solidFill>
                <a:schemeClr val="bg1">
                  <a:lumMod val="50000"/>
                </a:schemeClr>
              </a:solidFill>
              <a:latin typeface="Calibri" pitchFamily="34" charset="0"/>
              <a:ea typeface="+mn-ea"/>
              <a:cs typeface="+mn-cs"/>
            </a:rPr>
            <a:t>.</a:t>
          </a:r>
        </a:p>
        <a:p>
          <a:pPr marL="0" marR="0" indent="0" algn="r" defTabSz="914400" eaLnBrk="1" fontAlgn="auto" latinLnBrk="0" hangingPunct="1">
            <a:lnSpc>
              <a:spcPct val="100000"/>
            </a:lnSpc>
            <a:spcBef>
              <a:spcPts val="0"/>
            </a:spcBef>
            <a:spcAft>
              <a:spcPts val="0"/>
            </a:spcAft>
            <a:buClrTx/>
            <a:buSzTx/>
            <a:buFontTx/>
            <a:buNone/>
            <a:tabLst/>
            <a:defRPr/>
          </a:pPr>
          <a:r>
            <a:rPr lang="fr-FR" sz="900" b="0">
              <a:solidFill>
                <a:schemeClr val="bg1">
                  <a:lumMod val="50000"/>
                </a:schemeClr>
              </a:solidFill>
              <a:latin typeface="Calibri" pitchFamily="34" charset="0"/>
              <a:ea typeface="+mn-ea"/>
              <a:cs typeface="+mn-cs"/>
            </a:rPr>
            <a:t>(nouvelle</a:t>
          </a:r>
          <a:r>
            <a:rPr lang="fr-FR" sz="900" b="0" baseline="0">
              <a:solidFill>
                <a:schemeClr val="bg1">
                  <a:lumMod val="50000"/>
                </a:schemeClr>
              </a:solidFill>
              <a:latin typeface="Calibri" pitchFamily="34" charset="0"/>
              <a:ea typeface="+mn-ea"/>
              <a:cs typeface="+mn-cs"/>
            </a:rPr>
            <a:t> méthode d'établissement de ce ration - plus uniquement basé sur la catégorie)</a:t>
          </a:r>
          <a:endParaRPr lang="fr-FR" sz="900" b="0">
            <a:solidFill>
              <a:schemeClr val="bg1">
                <a:lumMod val="50000"/>
              </a:schemeClr>
            </a:solidFill>
            <a:latin typeface="Calibri" pitchFamily="34" charset="0"/>
            <a:ea typeface="+mn-ea"/>
            <a:cs typeface="+mn-cs"/>
          </a:endParaRPr>
        </a:p>
        <a:p>
          <a:pPr algn="r">
            <a:lnSpc>
              <a:spcPts val="1100"/>
            </a:lnSpc>
          </a:pPr>
          <a:endParaRPr lang="fr-FR" sz="1200" b="0">
            <a:solidFill>
              <a:schemeClr val="bg1">
                <a:lumMod val="50000"/>
              </a:schemeClr>
            </a:solidFill>
            <a:latin typeface="Calibri" pitchFamily="34" charset="0"/>
            <a:ea typeface="+mn-ea"/>
            <a:cs typeface="+mn-cs"/>
          </a:endParaRPr>
        </a:p>
      </xdr:txBody>
    </xdr:sp>
    <xdr:clientData/>
  </xdr:twoCellAnchor>
  <xdr:twoCellAnchor>
    <xdr:from>
      <xdr:col>0</xdr:col>
      <xdr:colOff>87630</xdr:colOff>
      <xdr:row>4</xdr:row>
      <xdr:rowOff>11431</xdr:rowOff>
    </xdr:from>
    <xdr:to>
      <xdr:col>11</xdr:col>
      <xdr:colOff>106740</xdr:colOff>
      <xdr:row>11</xdr:row>
      <xdr:rowOff>99061</xdr:rowOff>
    </xdr:to>
    <xdr:sp macro="" textlink="">
      <xdr:nvSpPr>
        <xdr:cNvPr id="22" name="Text Box 1">
          <a:extLst>
            <a:ext uri="{FF2B5EF4-FFF2-40B4-BE49-F238E27FC236}">
              <a16:creationId xmlns:a16="http://schemas.microsoft.com/office/drawing/2014/main" id="{00000000-0008-0000-1500-000016000000}"/>
            </a:ext>
          </a:extLst>
        </xdr:cNvPr>
        <xdr:cNvSpPr txBox="1">
          <a:spLocks noChangeArrowheads="1"/>
        </xdr:cNvSpPr>
      </xdr:nvSpPr>
      <xdr:spPr bwMode="auto">
        <a:xfrm>
          <a:off x="87630" y="712471"/>
          <a:ext cx="554361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ts val="800"/>
            </a:lnSpc>
            <a:defRPr sz="1000"/>
          </a:pPr>
          <a:r>
            <a:rPr lang="fr-FR" sz="800" b="0">
              <a:solidFill>
                <a:schemeClr val="bg1">
                  <a:lumMod val="50000"/>
                </a:schemeClr>
              </a:solidFill>
              <a:latin typeface="Calibri" pitchFamily="34" charset="0"/>
              <a:ea typeface="+mn-ea"/>
              <a:cs typeface="+mn-cs"/>
            </a:rPr>
            <a:t>L'Université Jean Monnet a signé la charte pour l'égalité entre les hommes et les femmes dans les établissements d'enseignement supérieur. Cette politique concerne aussi bien les étudiants , que l'ensemble des personnels.</a:t>
          </a:r>
        </a:p>
        <a:p>
          <a:pPr marL="0" marR="0" indent="0" algn="l" defTabSz="914400" rtl="0" eaLnBrk="1" fontAlgn="auto" latinLnBrk="0" hangingPunct="1">
            <a:lnSpc>
              <a:spcPts val="800"/>
            </a:lnSpc>
            <a:spcBef>
              <a:spcPts val="0"/>
            </a:spcBef>
            <a:spcAft>
              <a:spcPts val="0"/>
            </a:spcAft>
            <a:buClrTx/>
            <a:buSzTx/>
            <a:buFontTx/>
            <a:buNone/>
            <a:tabLst/>
            <a:defRPr sz="1000"/>
          </a:pPr>
          <a:r>
            <a:rPr lang="fr-FR" sz="800" b="0">
              <a:solidFill>
                <a:schemeClr val="bg1">
                  <a:lumMod val="50000"/>
                </a:schemeClr>
              </a:solidFill>
              <a:latin typeface="Calibri" pitchFamily="34" charset="0"/>
              <a:ea typeface="+mn-ea"/>
              <a:cs typeface="+mn-cs"/>
            </a:rPr>
            <a:t>L'établissement a nommé une Chargés de mission Egalité Femmes Hommes  et s'engage </a:t>
          </a:r>
          <a:r>
            <a:rPr lang="fr-FR" sz="800" b="0">
              <a:solidFill>
                <a:srgbClr val="FF0000"/>
              </a:solidFill>
              <a:latin typeface="Calibri" pitchFamily="34" charset="0"/>
              <a:ea typeface="+mn-ea"/>
              <a:cs typeface="+mn-cs"/>
            </a:rPr>
            <a:t>à</a:t>
          </a:r>
          <a:r>
            <a:rPr lang="fr-FR" sz="800" b="0" baseline="0">
              <a:solidFill>
                <a:srgbClr val="FF0000"/>
              </a:solidFill>
              <a:latin typeface="Calibri" pitchFamily="34" charset="0"/>
              <a:ea typeface="+mn-ea"/>
              <a:cs typeface="+mn-cs"/>
            </a:rPr>
            <a:t> travers un plan </a:t>
          </a:r>
          <a:r>
            <a:rPr lang="fr-FR" sz="800" b="0">
              <a:solidFill>
                <a:srgbClr val="FF0000"/>
              </a:solidFill>
              <a:latin typeface="Calibri" pitchFamily="34" charset="0"/>
              <a:ea typeface="+mn-ea"/>
              <a:cs typeface="+mn-cs"/>
            </a:rPr>
            <a:t> </a:t>
          </a:r>
          <a:r>
            <a:rPr lang="fr-FR" sz="800" b="0">
              <a:solidFill>
                <a:schemeClr val="bg1">
                  <a:lumMod val="50000"/>
                </a:schemeClr>
              </a:solidFill>
              <a:latin typeface="Calibri" pitchFamily="34" charset="0"/>
              <a:ea typeface="+mn-ea"/>
              <a:cs typeface="+mn-cs"/>
            </a:rPr>
            <a:t>notamment</a:t>
          </a:r>
          <a:r>
            <a:rPr lang="fr-FR" sz="800" b="0" baseline="0">
              <a:solidFill>
                <a:schemeClr val="bg1">
                  <a:lumMod val="50000"/>
                </a:schemeClr>
              </a:solidFill>
              <a:latin typeface="Calibri" pitchFamily="34" charset="0"/>
              <a:ea typeface="+mn-ea"/>
              <a:cs typeface="+mn-cs"/>
            </a:rPr>
            <a:t> </a:t>
          </a:r>
          <a:r>
            <a:rPr lang="fr-FR" sz="800" b="0">
              <a:solidFill>
                <a:schemeClr val="bg1">
                  <a:lumMod val="50000"/>
                </a:schemeClr>
              </a:solidFill>
              <a:latin typeface="Calibri" pitchFamily="34" charset="0"/>
              <a:ea typeface="+mn-ea"/>
              <a:cs typeface="+mn-cs"/>
            </a:rPr>
            <a:t>à :</a:t>
          </a:r>
        </a:p>
        <a:p>
          <a:pPr algn="l" rtl="0">
            <a:lnSpc>
              <a:spcPts val="800"/>
            </a:lnSpc>
            <a:defRPr sz="1000"/>
          </a:pPr>
          <a:r>
            <a:rPr lang="fr-FR" sz="800" b="0">
              <a:solidFill>
                <a:schemeClr val="bg1">
                  <a:lumMod val="50000"/>
                </a:schemeClr>
              </a:solidFill>
              <a:latin typeface="Calibri" pitchFamily="34" charset="0"/>
              <a:ea typeface="+mn-ea"/>
              <a:cs typeface="+mn-cs"/>
            </a:rPr>
            <a:t> - publier annuellement des statisques sexuées sur tous les aspects de la vie à l'université et d'engager la discussion sur ces statistiques</a:t>
          </a:r>
        </a:p>
        <a:p>
          <a:pPr algn="l" rtl="0">
            <a:lnSpc>
              <a:spcPts val="800"/>
            </a:lnSpc>
            <a:defRPr sz="1000"/>
          </a:pPr>
          <a:r>
            <a:rPr lang="fr-FR" sz="800" b="0">
              <a:solidFill>
                <a:schemeClr val="bg1">
                  <a:lumMod val="50000"/>
                </a:schemeClr>
              </a:solidFill>
              <a:latin typeface="Calibri" pitchFamily="34" charset="0"/>
              <a:ea typeface="+mn-ea"/>
              <a:cs typeface="+mn-cs"/>
            </a:rPr>
            <a:t> - favoriser la représentation proportionnelle des femmes et des hommes dans toutes les instances, à tous les niveaux, pour toutes les catégories</a:t>
          </a:r>
        </a:p>
        <a:p>
          <a:pPr algn="l" rtl="0">
            <a:lnSpc>
              <a:spcPts val="800"/>
            </a:lnSpc>
            <a:defRPr sz="1000"/>
          </a:pPr>
          <a:r>
            <a:rPr lang="fr-FR" sz="800" b="0">
              <a:solidFill>
                <a:schemeClr val="bg1">
                  <a:lumMod val="50000"/>
                </a:schemeClr>
              </a:solidFill>
              <a:latin typeface="Calibri" pitchFamily="34" charset="0"/>
              <a:ea typeface="+mn-ea"/>
              <a:cs typeface="+mn-cs"/>
            </a:rPr>
            <a:t> - prendre en compte les conséquences de la marternité sur le déroulement de la carrière des femmes enseignants-chercheurs</a:t>
          </a:r>
        </a:p>
        <a:p>
          <a:pPr algn="l" rtl="0">
            <a:lnSpc>
              <a:spcPts val="800"/>
            </a:lnSpc>
            <a:defRPr sz="1000"/>
          </a:pPr>
          <a:r>
            <a:rPr lang="fr-FR" sz="800" b="0">
              <a:solidFill>
                <a:schemeClr val="bg1">
                  <a:lumMod val="50000"/>
                </a:schemeClr>
              </a:solidFill>
              <a:latin typeface="Calibri" pitchFamily="34" charset="0"/>
              <a:ea typeface="+mn-ea"/>
              <a:cs typeface="+mn-cs"/>
            </a:rPr>
            <a:t> - encourager la recherche et promouvoir les études de genre</a:t>
          </a:r>
        </a:p>
        <a:p>
          <a:pPr algn="l" rtl="0">
            <a:lnSpc>
              <a:spcPts val="900"/>
            </a:lnSpc>
            <a:defRPr sz="1000"/>
          </a:pPr>
          <a:endParaRPr lang="fr-FR" sz="1000" b="0" i="0" u="none" strike="noStrike" baseline="0">
            <a:solidFill>
              <a:srgbClr val="000000"/>
            </a:solidFill>
            <a:latin typeface="Arial"/>
            <a:cs typeface="Arial"/>
          </a:endParaRPr>
        </a:p>
      </xdr:txBody>
    </xdr:sp>
    <xdr:clientData/>
  </xdr:twoCellAnchor>
  <xdr:twoCellAnchor>
    <xdr:from>
      <xdr:col>16</xdr:col>
      <xdr:colOff>190773</xdr:colOff>
      <xdr:row>6</xdr:row>
      <xdr:rowOff>70211</xdr:rowOff>
    </xdr:from>
    <xdr:to>
      <xdr:col>16</xdr:col>
      <xdr:colOff>1408612</xdr:colOff>
      <xdr:row>36</xdr:row>
      <xdr:rowOff>104775</xdr:rowOff>
    </xdr:to>
    <xdr:sp macro="" textlink="">
      <xdr:nvSpPr>
        <xdr:cNvPr id="23" name="Text Box 7">
          <a:extLst>
            <a:ext uri="{FF2B5EF4-FFF2-40B4-BE49-F238E27FC236}">
              <a16:creationId xmlns:a16="http://schemas.microsoft.com/office/drawing/2014/main" id="{00000000-0008-0000-1500-000017000000}"/>
            </a:ext>
          </a:extLst>
        </xdr:cNvPr>
        <xdr:cNvSpPr txBox="1">
          <a:spLocks noChangeArrowheads="1"/>
        </xdr:cNvSpPr>
      </xdr:nvSpPr>
      <xdr:spPr bwMode="auto">
        <a:xfrm>
          <a:off x="10001523" y="1022711"/>
          <a:ext cx="1217839" cy="5016139"/>
        </a:xfrm>
        <a:prstGeom prst="rect">
          <a:avLst/>
        </a:prstGeom>
        <a:solidFill>
          <a:srgbClr val="FFFFFF"/>
        </a:solidFill>
        <a:ln w="9525">
          <a:noFill/>
          <a:miter lim="800000"/>
          <a:headEnd/>
          <a:tailEnd/>
        </a:ln>
      </xdr:spPr>
      <xdr:txBody>
        <a:bodyPr vertOverflow="clip" wrap="square" lIns="27432" tIns="22860" rIns="0" bIns="0" anchor="ctr" upright="1"/>
        <a:lstStyle/>
        <a:p>
          <a:pPr algn="ctr" rtl="0">
            <a:defRPr sz="1000"/>
          </a:pPr>
          <a:r>
            <a:rPr lang="fr-FR" sz="1200" b="0">
              <a:solidFill>
                <a:schemeClr val="bg1">
                  <a:lumMod val="50000"/>
                </a:schemeClr>
              </a:solidFill>
              <a:latin typeface="Calibri" pitchFamily="34" charset="0"/>
              <a:ea typeface="+mn-ea"/>
              <a:cs typeface="+mn-cs"/>
            </a:rPr>
            <a:t>Parité au niveau national</a:t>
          </a:r>
          <a:r>
            <a:rPr lang="fr-FR" sz="1200" b="0" baseline="0">
              <a:solidFill>
                <a:schemeClr val="bg1">
                  <a:lumMod val="50000"/>
                </a:schemeClr>
              </a:solidFill>
              <a:latin typeface="Calibri" pitchFamily="34" charset="0"/>
              <a:ea typeface="+mn-ea"/>
              <a:cs typeface="+mn-cs"/>
            </a:rPr>
            <a:t> </a:t>
          </a:r>
        </a:p>
        <a:p>
          <a:pPr algn="ctr" rtl="0">
            <a:defRPr sz="1000"/>
          </a:pPr>
          <a:endParaRPr lang="fr-FR" sz="1200" b="0" baseline="0">
            <a:solidFill>
              <a:schemeClr val="bg1">
                <a:lumMod val="50000"/>
              </a:schemeClr>
            </a:solidFill>
            <a:latin typeface="Calibri" pitchFamily="34" charset="0"/>
            <a:ea typeface="+mn-ea"/>
            <a:cs typeface="+mn-cs"/>
          </a:endParaRPr>
        </a:p>
        <a:p>
          <a:pPr algn="ctr" rtl="0">
            <a:defRPr sz="1000"/>
          </a:pPr>
          <a:r>
            <a:rPr lang="fr-FR" sz="1050" b="0" i="1" baseline="0">
              <a:solidFill>
                <a:schemeClr val="bg1">
                  <a:lumMod val="50000"/>
                </a:schemeClr>
              </a:solidFill>
              <a:latin typeface="Calibri" pitchFamily="34" charset="0"/>
              <a:ea typeface="+mn-ea"/>
              <a:cs typeface="+mn-cs"/>
            </a:rPr>
            <a:t>Toutes populations confondues</a:t>
          </a:r>
        </a:p>
        <a:p>
          <a:pPr algn="ctr" rtl="0">
            <a:defRPr sz="1000"/>
          </a:pPr>
          <a:r>
            <a:rPr lang="fr-FR" sz="1400" b="0">
              <a:solidFill>
                <a:schemeClr val="bg1">
                  <a:lumMod val="50000"/>
                </a:schemeClr>
              </a:solidFill>
              <a:latin typeface="Calibri" pitchFamily="34" charset="0"/>
              <a:ea typeface="+mn-ea"/>
              <a:cs typeface="+mn-cs"/>
            </a:rPr>
            <a:t>49% </a:t>
          </a:r>
          <a:r>
            <a:rPr lang="fr-FR" sz="1050" b="0" baseline="0">
              <a:solidFill>
                <a:schemeClr val="bg1">
                  <a:lumMod val="50000"/>
                </a:schemeClr>
              </a:solidFill>
              <a:latin typeface="Calibri" pitchFamily="34" charset="0"/>
              <a:ea typeface="+mn-ea"/>
              <a:cs typeface="+mn-cs"/>
            </a:rPr>
            <a:t>de femmes </a:t>
          </a:r>
        </a:p>
        <a:p>
          <a:pPr algn="ctr" rtl="0">
            <a:defRPr sz="1000"/>
          </a:pPr>
          <a:r>
            <a:rPr lang="fr-FR" sz="1400" b="0">
              <a:solidFill>
                <a:schemeClr val="bg1">
                  <a:lumMod val="50000"/>
                </a:schemeClr>
              </a:solidFill>
              <a:latin typeface="Calibri" pitchFamily="34" charset="0"/>
              <a:ea typeface="+mn-ea"/>
              <a:cs typeface="+mn-cs"/>
            </a:rPr>
            <a:t>51% </a:t>
          </a:r>
          <a:r>
            <a:rPr lang="fr-FR" sz="1050" b="0" baseline="0">
              <a:solidFill>
                <a:schemeClr val="bg1">
                  <a:lumMod val="50000"/>
                </a:schemeClr>
              </a:solidFill>
              <a:latin typeface="Calibri" pitchFamily="34" charset="0"/>
              <a:ea typeface="+mn-ea"/>
              <a:cs typeface="+mn-cs"/>
            </a:rPr>
            <a:t>d'homme</a:t>
          </a:r>
          <a:r>
            <a:rPr lang="fr-FR" sz="1200" b="0" baseline="0">
              <a:solidFill>
                <a:schemeClr val="bg1">
                  <a:lumMod val="50000"/>
                </a:schemeClr>
              </a:solidFill>
              <a:latin typeface="Calibri" pitchFamily="34" charset="0"/>
              <a:ea typeface="+mn-ea"/>
              <a:cs typeface="+mn-cs"/>
            </a:rPr>
            <a:t>s</a:t>
          </a:r>
        </a:p>
        <a:p>
          <a:pPr algn="ctr" rtl="0">
            <a:defRPr sz="1000"/>
          </a:pPr>
          <a:endParaRPr lang="fr-FR" sz="1200" b="0">
            <a:solidFill>
              <a:srgbClr val="FFC000"/>
            </a:solidFill>
            <a:latin typeface="Calibri" pitchFamily="34" charset="0"/>
            <a:ea typeface="+mn-ea"/>
            <a:cs typeface="+mn-cs"/>
          </a:endParaRPr>
        </a:p>
        <a:p>
          <a:pPr algn="ctr" rtl="0">
            <a:defRPr sz="1000"/>
          </a:pPr>
          <a:r>
            <a:rPr lang="fr-FR" sz="1050" b="0" i="1" baseline="0">
              <a:solidFill>
                <a:schemeClr val="bg1">
                  <a:lumMod val="50000"/>
                </a:schemeClr>
              </a:solidFill>
              <a:latin typeface="Calibri" pitchFamily="34" charset="0"/>
              <a:ea typeface="+mn-ea"/>
              <a:cs typeface="+mn-cs"/>
            </a:rPr>
            <a:t>Enseignants chercheurs </a:t>
          </a:r>
        </a:p>
        <a:p>
          <a:pPr algn="ctr" rtl="0">
            <a:defRPr sz="1000"/>
          </a:pPr>
          <a:r>
            <a:rPr lang="fr-FR" sz="1400" b="0">
              <a:solidFill>
                <a:srgbClr val="FF0000"/>
              </a:solidFill>
              <a:latin typeface="Calibri" pitchFamily="34" charset="0"/>
              <a:ea typeface="+mn-ea"/>
              <a:cs typeface="+mn-cs"/>
            </a:rPr>
            <a:t>39</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de femmes</a:t>
          </a:r>
        </a:p>
        <a:p>
          <a:pPr algn="ctr" rtl="0">
            <a:defRPr sz="1000"/>
          </a:pPr>
          <a:r>
            <a:rPr lang="fr-FR" sz="1400" b="0">
              <a:solidFill>
                <a:srgbClr val="FF0000"/>
              </a:solidFill>
              <a:latin typeface="Calibri" pitchFamily="34" charset="0"/>
              <a:ea typeface="+mn-ea"/>
              <a:cs typeface="+mn-cs"/>
            </a:rPr>
            <a:t>61</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d'hommes</a:t>
          </a:r>
        </a:p>
        <a:p>
          <a:pPr algn="ctr" rtl="0">
            <a:defRPr sz="1000"/>
          </a:pPr>
          <a:endParaRPr lang="fr-FR" sz="1200" b="0" baseline="0">
            <a:solidFill>
              <a:srgbClr val="FFC000"/>
            </a:solidFill>
            <a:latin typeface="Calibri" pitchFamily="34" charset="0"/>
            <a:ea typeface="+mn-ea"/>
            <a:cs typeface="+mn-cs"/>
          </a:endParaRPr>
        </a:p>
        <a:p>
          <a:pPr marL="0" indent="0" algn="ctr" rtl="0">
            <a:defRPr sz="1000"/>
          </a:pPr>
          <a:r>
            <a:rPr lang="fr-FR" sz="1050" b="0" i="1" baseline="0">
              <a:solidFill>
                <a:schemeClr val="bg1">
                  <a:lumMod val="50000"/>
                </a:schemeClr>
              </a:solidFill>
              <a:latin typeface="Calibri" pitchFamily="34" charset="0"/>
              <a:ea typeface="+mn-ea"/>
              <a:cs typeface="+mn-cs"/>
            </a:rPr>
            <a:t>Enseignants HU</a:t>
          </a:r>
        </a:p>
        <a:p>
          <a:pPr marL="0" indent="0" algn="ctr" rtl="0">
            <a:defRPr sz="1000"/>
          </a:pPr>
          <a:r>
            <a:rPr lang="fr-FR" sz="1400" b="0">
              <a:solidFill>
                <a:srgbClr val="FF0000"/>
              </a:solidFill>
              <a:latin typeface="Calibri" pitchFamily="34" charset="0"/>
              <a:ea typeface="+mn-ea"/>
              <a:cs typeface="+mn-cs"/>
            </a:rPr>
            <a:t>29</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de femmes</a:t>
          </a:r>
        </a:p>
        <a:p>
          <a:pPr marL="0" indent="0" algn="ctr" rtl="0">
            <a:defRPr sz="1000"/>
          </a:pPr>
          <a:r>
            <a:rPr lang="fr-FR" sz="1400" b="0">
              <a:solidFill>
                <a:srgbClr val="FF0000"/>
              </a:solidFill>
              <a:latin typeface="Calibri" pitchFamily="34" charset="0"/>
              <a:ea typeface="+mn-ea"/>
              <a:cs typeface="+mn-cs"/>
            </a:rPr>
            <a:t>71</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d'hommes</a:t>
          </a:r>
        </a:p>
        <a:p>
          <a:pPr algn="ctr" rtl="0">
            <a:defRPr sz="1000"/>
          </a:pPr>
          <a:endParaRPr lang="fr-FR" sz="1200" b="0" baseline="0">
            <a:solidFill>
              <a:srgbClr val="FFC000"/>
            </a:solidFill>
            <a:latin typeface="Calibri" pitchFamily="34" charset="0"/>
            <a:ea typeface="+mn-ea"/>
            <a:cs typeface="+mn-cs"/>
          </a:endParaRPr>
        </a:p>
        <a:p>
          <a:pPr marL="0" indent="0" algn="ctr" rtl="0">
            <a:defRPr sz="1000"/>
          </a:pPr>
          <a:r>
            <a:rPr lang="fr-FR" sz="1050" b="0" i="1" baseline="0">
              <a:solidFill>
                <a:schemeClr val="bg1">
                  <a:lumMod val="50000"/>
                </a:schemeClr>
              </a:solidFill>
              <a:latin typeface="Calibri" pitchFamily="34" charset="0"/>
              <a:ea typeface="+mn-ea"/>
              <a:cs typeface="+mn-cs"/>
            </a:rPr>
            <a:t>Second degré</a:t>
          </a:r>
        </a:p>
        <a:p>
          <a:pPr marL="0" indent="0" algn="ctr" rtl="0">
            <a:defRPr sz="1000"/>
          </a:pPr>
          <a:r>
            <a:rPr lang="fr-FR" sz="1400" b="0">
              <a:solidFill>
                <a:srgbClr val="FF0000"/>
              </a:solidFill>
              <a:latin typeface="Calibri" pitchFamily="34" charset="0"/>
              <a:ea typeface="+mn-ea"/>
              <a:cs typeface="+mn-cs"/>
            </a:rPr>
            <a:t>47</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de femmes</a:t>
          </a:r>
        </a:p>
        <a:p>
          <a:pPr marL="0" indent="0" algn="ctr" rtl="0">
            <a:defRPr sz="1000"/>
          </a:pPr>
          <a:r>
            <a:rPr lang="fr-FR" sz="1400" b="0">
              <a:solidFill>
                <a:srgbClr val="FF0000"/>
              </a:solidFill>
              <a:latin typeface="Calibri" pitchFamily="34" charset="0"/>
              <a:ea typeface="+mn-ea"/>
              <a:cs typeface="+mn-cs"/>
            </a:rPr>
            <a:t>53</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d'hommes</a:t>
          </a:r>
        </a:p>
        <a:p>
          <a:pPr algn="ctr" rtl="0">
            <a:defRPr sz="1000"/>
          </a:pPr>
          <a:endParaRPr lang="fr-FR" sz="1200" b="0">
            <a:solidFill>
              <a:schemeClr val="bg1">
                <a:lumMod val="50000"/>
              </a:schemeClr>
            </a:solidFill>
            <a:latin typeface="Calibri" pitchFamily="34" charset="0"/>
            <a:ea typeface="+mn-ea"/>
            <a:cs typeface="+mn-cs"/>
          </a:endParaRPr>
        </a:p>
        <a:p>
          <a:pPr algn="ctr" rtl="0">
            <a:defRPr sz="1000"/>
          </a:pPr>
          <a:r>
            <a:rPr lang="fr-FR" sz="800" b="0" i="1">
              <a:solidFill>
                <a:srgbClr val="FF0000"/>
              </a:solidFill>
              <a:latin typeface="Calibri" pitchFamily="34" charset="0"/>
              <a:ea typeface="+mn-ea"/>
              <a:cs typeface="+mn-cs"/>
            </a:rPr>
            <a:t>(sourc</a:t>
          </a:r>
          <a:r>
            <a:rPr lang="fr-FR" sz="800" b="0" i="1" baseline="0">
              <a:solidFill>
                <a:srgbClr val="FF0000"/>
              </a:solidFill>
              <a:latin typeface="Calibri" pitchFamily="34" charset="0"/>
              <a:ea typeface="+mn-ea"/>
              <a:cs typeface="+mn-cs"/>
            </a:rPr>
            <a:t>e </a:t>
          </a:r>
          <a:r>
            <a:rPr lang="fr-FR" sz="800" b="0" i="1">
              <a:solidFill>
                <a:srgbClr val="FF0000"/>
              </a:solidFill>
              <a:latin typeface="Calibri" pitchFamily="34" charset="0"/>
              <a:ea typeface="+mn-ea"/>
              <a:cs typeface="+mn-cs"/>
            </a:rPr>
            <a:t>Bilan Social</a:t>
          </a:r>
          <a:r>
            <a:rPr lang="fr-FR" sz="800" b="0" i="1" baseline="0">
              <a:solidFill>
                <a:srgbClr val="FF0000"/>
              </a:solidFill>
              <a:latin typeface="Calibri" pitchFamily="34" charset="0"/>
              <a:ea typeface="+mn-ea"/>
              <a:cs typeface="+mn-cs"/>
            </a:rPr>
            <a:t> MESRI 2018-2019</a:t>
          </a:r>
          <a:r>
            <a:rPr lang="fr-FR" sz="800" b="0" baseline="0">
              <a:solidFill>
                <a:srgbClr val="FF0000"/>
              </a:solidFill>
              <a:latin typeface="Calibri" pitchFamily="34" charset="0"/>
              <a:ea typeface="+mn-ea"/>
              <a:cs typeface="+mn-cs"/>
            </a:rPr>
            <a:t>)</a:t>
          </a:r>
          <a:endParaRPr lang="fr-FR" sz="800" b="0" i="1">
            <a:solidFill>
              <a:srgbClr val="FF0000"/>
            </a:solidFill>
            <a:latin typeface="Calibri" pitchFamily="34" charset="0"/>
            <a:ea typeface="+mn-ea"/>
            <a:cs typeface="+mn-cs"/>
          </a:endParaRPr>
        </a:p>
      </xdr:txBody>
    </xdr:sp>
    <xdr:clientData/>
  </xdr:twoCellAnchor>
  <xdr:twoCellAnchor>
    <xdr:from>
      <xdr:col>3</xdr:col>
      <xdr:colOff>17146</xdr:colOff>
      <xdr:row>61</xdr:row>
      <xdr:rowOff>57150</xdr:rowOff>
    </xdr:from>
    <xdr:to>
      <xdr:col>4</xdr:col>
      <xdr:colOff>22618</xdr:colOff>
      <xdr:row>66</xdr:row>
      <xdr:rowOff>11380</xdr:rowOff>
    </xdr:to>
    <xdr:pic>
      <xdr:nvPicPr>
        <xdr:cNvPr id="24" name="Image 23">
          <a:extLst>
            <a:ext uri="{FF2B5EF4-FFF2-40B4-BE49-F238E27FC236}">
              <a16:creationId xmlns:a16="http://schemas.microsoft.com/office/drawing/2014/main" id="{00000000-0008-0000-15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6376" y="10248900"/>
          <a:ext cx="685799" cy="78105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577215</xdr:colOff>
      <xdr:row>61</xdr:row>
      <xdr:rowOff>47625</xdr:rowOff>
    </xdr:from>
    <xdr:to>
      <xdr:col>7</xdr:col>
      <xdr:colOff>585224</xdr:colOff>
      <xdr:row>66</xdr:row>
      <xdr:rowOff>0</xdr:rowOff>
    </xdr:to>
    <xdr:pic>
      <xdr:nvPicPr>
        <xdr:cNvPr id="26" name="Image 25">
          <a:extLst>
            <a:ext uri="{FF2B5EF4-FFF2-40B4-BE49-F238E27FC236}">
              <a16:creationId xmlns:a16="http://schemas.microsoft.com/office/drawing/2014/main" id="{00000000-0008-0000-1500-00001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43375" y="10239375"/>
          <a:ext cx="714374" cy="78105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569595</xdr:colOff>
      <xdr:row>61</xdr:row>
      <xdr:rowOff>57150</xdr:rowOff>
    </xdr:from>
    <xdr:to>
      <xdr:col>11</xdr:col>
      <xdr:colOff>591835</xdr:colOff>
      <xdr:row>66</xdr:row>
      <xdr:rowOff>16963</xdr:rowOff>
    </xdr:to>
    <xdr:pic>
      <xdr:nvPicPr>
        <xdr:cNvPr id="27" name="Image 26">
          <a:extLst>
            <a:ext uri="{FF2B5EF4-FFF2-40B4-BE49-F238E27FC236}">
              <a16:creationId xmlns:a16="http://schemas.microsoft.com/office/drawing/2014/main" id="{00000000-0008-0000-1500-00001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05625" y="10248900"/>
          <a:ext cx="714374" cy="790575"/>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17145</xdr:colOff>
      <xdr:row>19</xdr:row>
      <xdr:rowOff>76200</xdr:rowOff>
    </xdr:from>
    <xdr:to>
      <xdr:col>11</xdr:col>
      <xdr:colOff>567716</xdr:colOff>
      <xdr:row>24</xdr:row>
      <xdr:rowOff>0</xdr:rowOff>
    </xdr:to>
    <xdr:pic>
      <xdr:nvPicPr>
        <xdr:cNvPr id="30" name="Image 29">
          <a:extLst>
            <a:ext uri="{FF2B5EF4-FFF2-40B4-BE49-F238E27FC236}">
              <a16:creationId xmlns:a16="http://schemas.microsoft.com/office/drawing/2014/main" id="{00000000-0008-0000-1500-00001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989445" y="2943225"/>
          <a:ext cx="550571" cy="847725"/>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579120</xdr:colOff>
      <xdr:row>19</xdr:row>
      <xdr:rowOff>57150</xdr:rowOff>
    </xdr:from>
    <xdr:to>
      <xdr:col>7</xdr:col>
      <xdr:colOff>592940</xdr:colOff>
      <xdr:row>23</xdr:row>
      <xdr:rowOff>114300</xdr:rowOff>
    </xdr:to>
    <xdr:pic>
      <xdr:nvPicPr>
        <xdr:cNvPr id="31" name="Image 30">
          <a:extLst>
            <a:ext uri="{FF2B5EF4-FFF2-40B4-BE49-F238E27FC236}">
              <a16:creationId xmlns:a16="http://schemas.microsoft.com/office/drawing/2014/main" id="{00000000-0008-0000-1500-00001F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701540" y="2945130"/>
          <a:ext cx="646280" cy="83439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twoCellAnchor editAs="oneCell">
    <xdr:from>
      <xdr:col>2</xdr:col>
      <xdr:colOff>97156</xdr:colOff>
      <xdr:row>32</xdr:row>
      <xdr:rowOff>104775</xdr:rowOff>
    </xdr:from>
    <xdr:to>
      <xdr:col>2</xdr:col>
      <xdr:colOff>592370</xdr:colOff>
      <xdr:row>36</xdr:row>
      <xdr:rowOff>129540</xdr:rowOff>
    </xdr:to>
    <xdr:pic>
      <xdr:nvPicPr>
        <xdr:cNvPr id="34" name="Image 33">
          <a:extLst>
            <a:ext uri="{FF2B5EF4-FFF2-40B4-BE49-F238E27FC236}">
              <a16:creationId xmlns:a16="http://schemas.microsoft.com/office/drawing/2014/main" id="{00000000-0008-0000-1500-000022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47726" y="5343525"/>
          <a:ext cx="495300" cy="77343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twoCellAnchor editAs="oneCell">
    <xdr:from>
      <xdr:col>6</xdr:col>
      <xdr:colOff>106680</xdr:colOff>
      <xdr:row>32</xdr:row>
      <xdr:rowOff>95250</xdr:rowOff>
    </xdr:from>
    <xdr:to>
      <xdr:col>6</xdr:col>
      <xdr:colOff>591403</xdr:colOff>
      <xdr:row>36</xdr:row>
      <xdr:rowOff>133350</xdr:rowOff>
    </xdr:to>
    <xdr:pic>
      <xdr:nvPicPr>
        <xdr:cNvPr id="36" name="Image 35">
          <a:extLst>
            <a:ext uri="{FF2B5EF4-FFF2-40B4-BE49-F238E27FC236}">
              <a16:creationId xmlns:a16="http://schemas.microsoft.com/office/drawing/2014/main" id="{00000000-0008-0000-1500-000024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600450" y="5200650"/>
          <a:ext cx="495300" cy="77343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twoCellAnchor editAs="oneCell">
    <xdr:from>
      <xdr:col>10</xdr:col>
      <xdr:colOff>1905</xdr:colOff>
      <xdr:row>32</xdr:row>
      <xdr:rowOff>104775</xdr:rowOff>
    </xdr:from>
    <xdr:to>
      <xdr:col>10</xdr:col>
      <xdr:colOff>533843</xdr:colOff>
      <xdr:row>36</xdr:row>
      <xdr:rowOff>129540</xdr:rowOff>
    </xdr:to>
    <xdr:pic>
      <xdr:nvPicPr>
        <xdr:cNvPr id="37" name="Image 36">
          <a:extLst>
            <a:ext uri="{FF2B5EF4-FFF2-40B4-BE49-F238E27FC236}">
              <a16:creationId xmlns:a16="http://schemas.microsoft.com/office/drawing/2014/main" id="{00000000-0008-0000-1500-000025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10275" y="5210175"/>
          <a:ext cx="533400" cy="77343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twoCellAnchor editAs="oneCell">
    <xdr:from>
      <xdr:col>13</xdr:col>
      <xdr:colOff>516255</xdr:colOff>
      <xdr:row>32</xdr:row>
      <xdr:rowOff>100965</xdr:rowOff>
    </xdr:from>
    <xdr:to>
      <xdr:col>14</xdr:col>
      <xdr:colOff>472599</xdr:colOff>
      <xdr:row>36</xdr:row>
      <xdr:rowOff>134651</xdr:rowOff>
    </xdr:to>
    <xdr:pic>
      <xdr:nvPicPr>
        <xdr:cNvPr id="38" name="Image 37">
          <a:extLst>
            <a:ext uri="{FF2B5EF4-FFF2-40B4-BE49-F238E27FC236}">
              <a16:creationId xmlns:a16="http://schemas.microsoft.com/office/drawing/2014/main" id="{00000000-0008-0000-1500-000026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160895" y="5206365"/>
          <a:ext cx="543084" cy="746156"/>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twoCellAnchor editAs="oneCell">
    <xdr:from>
      <xdr:col>3</xdr:col>
      <xdr:colOff>0</xdr:colOff>
      <xdr:row>20</xdr:row>
      <xdr:rowOff>0</xdr:rowOff>
    </xdr:from>
    <xdr:to>
      <xdr:col>3</xdr:col>
      <xdr:colOff>629135</xdr:colOff>
      <xdr:row>23</xdr:row>
      <xdr:rowOff>152400</xdr:rowOff>
    </xdr:to>
    <xdr:pic>
      <xdr:nvPicPr>
        <xdr:cNvPr id="19" name="Image 18">
          <a:extLst>
            <a:ext uri="{FF2B5EF4-FFF2-40B4-BE49-F238E27FC236}">
              <a16:creationId xmlns:a16="http://schemas.microsoft.com/office/drawing/2014/main" id="{00000000-0008-0000-1500-000013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362200" y="3017520"/>
          <a:ext cx="615800" cy="78486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91440</xdr:colOff>
      <xdr:row>3</xdr:row>
      <xdr:rowOff>76200</xdr:rowOff>
    </xdr:from>
    <xdr:to>
      <xdr:col>3</xdr:col>
      <xdr:colOff>112123</xdr:colOff>
      <xdr:row>8</xdr:row>
      <xdr:rowOff>15240</xdr:rowOff>
    </xdr:to>
    <xdr:pic>
      <xdr:nvPicPr>
        <xdr:cNvPr id="1863435" name="Image 43">
          <a:extLst>
            <a:ext uri="{FF2B5EF4-FFF2-40B4-BE49-F238E27FC236}">
              <a16:creationId xmlns:a16="http://schemas.microsoft.com/office/drawing/2014/main" id="{00000000-0008-0000-1600-00000B6F1C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1059180"/>
          <a:ext cx="48768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xdr:colOff>
      <xdr:row>3</xdr:row>
      <xdr:rowOff>53340</xdr:rowOff>
    </xdr:from>
    <xdr:to>
      <xdr:col>7</xdr:col>
      <xdr:colOff>94978</xdr:colOff>
      <xdr:row>8</xdr:row>
      <xdr:rowOff>0</xdr:rowOff>
    </xdr:to>
    <xdr:pic>
      <xdr:nvPicPr>
        <xdr:cNvPr id="1863436" name="Image 44">
          <a:extLst>
            <a:ext uri="{FF2B5EF4-FFF2-40B4-BE49-F238E27FC236}">
              <a16:creationId xmlns:a16="http://schemas.microsoft.com/office/drawing/2014/main" id="{00000000-0008-0000-1600-00000C6F1C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73680" y="1036320"/>
          <a:ext cx="50292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60960</xdr:colOff>
      <xdr:row>3</xdr:row>
      <xdr:rowOff>83820</xdr:rowOff>
    </xdr:from>
    <xdr:to>
      <xdr:col>18</xdr:col>
      <xdr:colOff>556260</xdr:colOff>
      <xdr:row>8</xdr:row>
      <xdr:rowOff>0</xdr:rowOff>
    </xdr:to>
    <xdr:pic>
      <xdr:nvPicPr>
        <xdr:cNvPr id="1863440" name="Image 26">
          <a:extLst>
            <a:ext uri="{FF2B5EF4-FFF2-40B4-BE49-F238E27FC236}">
              <a16:creationId xmlns:a16="http://schemas.microsoft.com/office/drawing/2014/main" id="{00000000-0008-0000-1600-0000106F1C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00" y="1066800"/>
          <a:ext cx="49530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91440</xdr:colOff>
      <xdr:row>3</xdr:row>
      <xdr:rowOff>53340</xdr:rowOff>
    </xdr:from>
    <xdr:to>
      <xdr:col>11</xdr:col>
      <xdr:colOff>131172</xdr:colOff>
      <xdr:row>8</xdr:row>
      <xdr:rowOff>0</xdr:rowOff>
    </xdr:to>
    <xdr:pic>
      <xdr:nvPicPr>
        <xdr:cNvPr id="1863441" name="Image 44">
          <a:extLst>
            <a:ext uri="{FF2B5EF4-FFF2-40B4-BE49-F238E27FC236}">
              <a16:creationId xmlns:a16="http://schemas.microsoft.com/office/drawing/2014/main" id="{00000000-0008-0000-1600-0000116F1C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32020" y="1036320"/>
          <a:ext cx="49530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53340</xdr:colOff>
      <xdr:row>3</xdr:row>
      <xdr:rowOff>38100</xdr:rowOff>
    </xdr:from>
    <xdr:to>
      <xdr:col>14</xdr:col>
      <xdr:colOff>457200</xdr:colOff>
      <xdr:row>7</xdr:row>
      <xdr:rowOff>83820</xdr:rowOff>
    </xdr:to>
    <xdr:pic>
      <xdr:nvPicPr>
        <xdr:cNvPr id="27" name="Image 26">
          <a:extLst>
            <a:ext uri="{FF2B5EF4-FFF2-40B4-BE49-F238E27FC236}">
              <a16:creationId xmlns:a16="http://schemas.microsoft.com/office/drawing/2014/main" id="{00000000-0008-0000-1600-00001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21680" y="1051560"/>
          <a:ext cx="40386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83820</xdr:colOff>
      <xdr:row>13</xdr:row>
      <xdr:rowOff>182880</xdr:rowOff>
    </xdr:from>
    <xdr:to>
      <xdr:col>2</xdr:col>
      <xdr:colOff>474160</xdr:colOff>
      <xdr:row>15</xdr:row>
      <xdr:rowOff>169001</xdr:rowOff>
    </xdr:to>
    <xdr:pic>
      <xdr:nvPicPr>
        <xdr:cNvPr id="14" name="Image 43">
          <a:extLst>
            <a:ext uri="{FF2B5EF4-FFF2-40B4-BE49-F238E27FC236}">
              <a16:creationId xmlns:a16="http://schemas.microsoft.com/office/drawing/2014/main" id="{00000000-0008-0000-1600-00000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76300" y="2781300"/>
          <a:ext cx="378910" cy="498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45720</xdr:colOff>
      <xdr:row>13</xdr:row>
      <xdr:rowOff>198120</xdr:rowOff>
    </xdr:from>
    <xdr:to>
      <xdr:col>10</xdr:col>
      <xdr:colOff>436060</xdr:colOff>
      <xdr:row>15</xdr:row>
      <xdr:rowOff>188051</xdr:rowOff>
    </xdr:to>
    <xdr:pic>
      <xdr:nvPicPr>
        <xdr:cNvPr id="15" name="Image 43">
          <a:extLst>
            <a:ext uri="{FF2B5EF4-FFF2-40B4-BE49-F238E27FC236}">
              <a16:creationId xmlns:a16="http://schemas.microsoft.com/office/drawing/2014/main" id="{00000000-0008-0000-1600-00000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130040" y="2796540"/>
          <a:ext cx="378910" cy="498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53340</xdr:colOff>
      <xdr:row>28</xdr:row>
      <xdr:rowOff>53340</xdr:rowOff>
    </xdr:from>
    <xdr:to>
      <xdr:col>15</xdr:col>
      <xdr:colOff>436060</xdr:colOff>
      <xdr:row>30</xdr:row>
      <xdr:rowOff>289016</xdr:rowOff>
    </xdr:to>
    <xdr:pic>
      <xdr:nvPicPr>
        <xdr:cNvPr id="17" name="Image 43">
          <a:extLst>
            <a:ext uri="{FF2B5EF4-FFF2-40B4-BE49-F238E27FC236}">
              <a16:creationId xmlns:a16="http://schemas.microsoft.com/office/drawing/2014/main" id="{00000000-0008-0000-1600-000011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9800" y="5638800"/>
          <a:ext cx="378910" cy="498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114300</xdr:colOff>
      <xdr:row>22</xdr:row>
      <xdr:rowOff>131693</xdr:rowOff>
    </xdr:from>
    <xdr:to>
      <xdr:col>15</xdr:col>
      <xdr:colOff>457200</xdr:colOff>
      <xdr:row>24</xdr:row>
      <xdr:rowOff>316230</xdr:rowOff>
    </xdr:to>
    <xdr:pic>
      <xdr:nvPicPr>
        <xdr:cNvPr id="37" name="Image 26">
          <a:extLst>
            <a:ext uri="{FF2B5EF4-FFF2-40B4-BE49-F238E27FC236}">
              <a16:creationId xmlns:a16="http://schemas.microsoft.com/office/drawing/2014/main" id="{00000000-0008-0000-1600-00002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70320" y="4688453"/>
          <a:ext cx="342900" cy="504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81915</xdr:colOff>
      <xdr:row>22</xdr:row>
      <xdr:rowOff>130358</xdr:rowOff>
    </xdr:from>
    <xdr:to>
      <xdr:col>2</xdr:col>
      <xdr:colOff>424815</xdr:colOff>
      <xdr:row>24</xdr:row>
      <xdr:rowOff>314895</xdr:rowOff>
    </xdr:to>
    <xdr:pic>
      <xdr:nvPicPr>
        <xdr:cNvPr id="18" name="Image 26">
          <a:extLst>
            <a:ext uri="{FF2B5EF4-FFF2-40B4-BE49-F238E27FC236}">
              <a16:creationId xmlns:a16="http://schemas.microsoft.com/office/drawing/2014/main" id="{37127C61-B46F-466C-878F-89DD4B28FC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2495" y="4687118"/>
          <a:ext cx="342900" cy="504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60960</xdr:colOff>
      <xdr:row>13</xdr:row>
      <xdr:rowOff>190500</xdr:rowOff>
    </xdr:from>
    <xdr:to>
      <xdr:col>18</xdr:col>
      <xdr:colOff>436060</xdr:colOff>
      <xdr:row>15</xdr:row>
      <xdr:rowOff>170906</xdr:rowOff>
    </xdr:to>
    <xdr:pic>
      <xdr:nvPicPr>
        <xdr:cNvPr id="19" name="Image 43">
          <a:extLst>
            <a:ext uri="{FF2B5EF4-FFF2-40B4-BE49-F238E27FC236}">
              <a16:creationId xmlns:a16="http://schemas.microsoft.com/office/drawing/2014/main" id="{DB3BEB56-7647-41E9-91BF-D4D00E61A09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75220" y="2712720"/>
          <a:ext cx="378910" cy="485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133349</xdr:colOff>
      <xdr:row>27</xdr:row>
      <xdr:rowOff>0</xdr:rowOff>
    </xdr:from>
    <xdr:to>
      <xdr:col>22</xdr:col>
      <xdr:colOff>581025</xdr:colOff>
      <xdr:row>31</xdr:row>
      <xdr:rowOff>38101</xdr:rowOff>
    </xdr:to>
    <xdr:sp macro="" textlink="">
      <xdr:nvSpPr>
        <xdr:cNvPr id="2" name="ZoneTexte 1">
          <a:extLst>
            <a:ext uri="{FF2B5EF4-FFF2-40B4-BE49-F238E27FC236}">
              <a16:creationId xmlns:a16="http://schemas.microsoft.com/office/drawing/2014/main" id="{93ABF8D0-FA80-4D62-BCBE-B839029B141A}"/>
            </a:ext>
          </a:extLst>
        </xdr:cNvPr>
        <xdr:cNvSpPr txBox="1"/>
      </xdr:nvSpPr>
      <xdr:spPr>
        <a:xfrm>
          <a:off x="8534399" y="5553075"/>
          <a:ext cx="1419226" cy="771526"/>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solidFill>
                <a:schemeClr val="bg1">
                  <a:lumMod val="50000"/>
                </a:schemeClr>
              </a:solidFill>
              <a:latin typeface="Calibri" panose="020F0502020204030204" pitchFamily="34" charset="0"/>
              <a:cs typeface="Calibri" panose="020F0502020204030204" pitchFamily="34" charset="0"/>
            </a:rPr>
            <a:t>Cette forte variation est la conséquence de l'alternance imposée par la réglementation.</a:t>
          </a:r>
        </a:p>
      </xdr:txBody>
    </xdr:sp>
    <xdr:clientData/>
  </xdr:twoCellAnchor>
  <xdr:twoCellAnchor>
    <xdr:from>
      <xdr:col>2</xdr:col>
      <xdr:colOff>87630</xdr:colOff>
      <xdr:row>28</xdr:row>
      <xdr:rowOff>38100</xdr:rowOff>
    </xdr:from>
    <xdr:to>
      <xdr:col>2</xdr:col>
      <xdr:colOff>430530</xdr:colOff>
      <xdr:row>31</xdr:row>
      <xdr:rowOff>22612</xdr:rowOff>
    </xdr:to>
    <xdr:pic>
      <xdr:nvPicPr>
        <xdr:cNvPr id="16" name="Image 26">
          <a:extLst>
            <a:ext uri="{FF2B5EF4-FFF2-40B4-BE49-F238E27FC236}">
              <a16:creationId xmlns:a16="http://schemas.microsoft.com/office/drawing/2014/main" id="{AB42D6B4-3F86-4400-9603-59A2CE26BE0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6305" y="5705475"/>
          <a:ext cx="342900" cy="575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321521</xdr:colOff>
      <xdr:row>1</xdr:row>
      <xdr:rowOff>72604</xdr:rowOff>
    </xdr:from>
    <xdr:to>
      <xdr:col>12</xdr:col>
      <xdr:colOff>939800</xdr:colOff>
      <xdr:row>12</xdr:row>
      <xdr:rowOff>31751</xdr:rowOff>
    </xdr:to>
    <xdr:sp macro="" textlink="">
      <xdr:nvSpPr>
        <xdr:cNvPr id="2" name="ZoneTexte 1">
          <a:extLst>
            <a:ext uri="{FF2B5EF4-FFF2-40B4-BE49-F238E27FC236}">
              <a16:creationId xmlns:a16="http://schemas.microsoft.com/office/drawing/2014/main" id="{00000000-0008-0000-1700-000002000000}"/>
            </a:ext>
          </a:extLst>
        </xdr:cNvPr>
        <xdr:cNvSpPr txBox="1"/>
      </xdr:nvSpPr>
      <xdr:spPr>
        <a:xfrm>
          <a:off x="9503621" y="453604"/>
          <a:ext cx="2037504" cy="13974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lnSpc>
              <a:spcPts val="2000"/>
            </a:lnSpc>
          </a:pPr>
          <a:r>
            <a:rPr lang="fr-FR" sz="2000" b="0">
              <a:solidFill>
                <a:srgbClr val="00B050"/>
              </a:solidFill>
              <a:latin typeface="Calibri" pitchFamily="34" charset="0"/>
              <a:ea typeface="+mn-ea"/>
              <a:cs typeface="+mn-cs"/>
            </a:rPr>
            <a:t>117 735 358 </a:t>
          </a:r>
          <a:r>
            <a:rPr lang="fr-FR" sz="2000" b="0">
              <a:solidFill>
                <a:schemeClr val="bg1">
                  <a:lumMod val="50000"/>
                </a:schemeClr>
              </a:solidFill>
              <a:latin typeface="Calibri" pitchFamily="34" charset="0"/>
              <a:ea typeface="+mn-ea"/>
              <a:cs typeface="+mn-cs"/>
            </a:rPr>
            <a:t>€</a:t>
          </a:r>
        </a:p>
        <a:p>
          <a:pPr algn="r">
            <a:lnSpc>
              <a:spcPts val="2000"/>
            </a:lnSpc>
          </a:pPr>
          <a:r>
            <a:rPr lang="fr-FR" sz="1200" b="0">
              <a:solidFill>
                <a:schemeClr val="bg1">
                  <a:lumMod val="50000"/>
                </a:schemeClr>
              </a:solidFill>
              <a:latin typeface="Calibri" pitchFamily="34" charset="0"/>
              <a:ea typeface="+mn-ea"/>
              <a:cs typeface="+mn-cs"/>
            </a:rPr>
            <a:t>Montant de la masse salariale</a:t>
          </a:r>
          <a:r>
            <a:rPr lang="fr-FR" sz="1200" b="0" baseline="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2022</a:t>
          </a:r>
        </a:p>
        <a:p>
          <a:pPr marL="0" marR="0" indent="0" algn="r" defTabSz="914400" eaLnBrk="1" fontAlgn="auto" latinLnBrk="0" hangingPunct="1">
            <a:lnSpc>
              <a:spcPts val="800"/>
            </a:lnSpc>
            <a:spcBef>
              <a:spcPts val="0"/>
            </a:spcBef>
            <a:spcAft>
              <a:spcPts val="0"/>
            </a:spcAft>
            <a:buClrTx/>
            <a:buSzTx/>
            <a:buFontTx/>
            <a:buNone/>
            <a:tabLst/>
            <a:defRPr/>
          </a:pPr>
          <a:endParaRPr lang="fr-FR" sz="800" b="0">
            <a:solidFill>
              <a:schemeClr val="bg1">
                <a:lumMod val="50000"/>
              </a:schemeClr>
            </a:solidFill>
            <a:latin typeface="Calibri" pitchFamily="34" charset="0"/>
            <a:ea typeface="+mn-ea"/>
            <a:cs typeface="+mn-cs"/>
          </a:endParaRPr>
        </a:p>
        <a:p>
          <a:pPr marL="0" marR="0" indent="0" algn="r" defTabSz="914400" eaLnBrk="1" fontAlgn="auto" latinLnBrk="0" hangingPunct="1">
            <a:lnSpc>
              <a:spcPts val="800"/>
            </a:lnSpc>
            <a:spcBef>
              <a:spcPts val="0"/>
            </a:spcBef>
            <a:spcAft>
              <a:spcPts val="0"/>
            </a:spcAft>
            <a:buClrTx/>
            <a:buSzTx/>
            <a:buFontTx/>
            <a:buNone/>
            <a:tabLst/>
            <a:defRPr/>
          </a:pPr>
          <a:r>
            <a:rPr lang="fr-FR" sz="800" b="0">
              <a:solidFill>
                <a:schemeClr val="bg1">
                  <a:lumMod val="50000"/>
                </a:schemeClr>
              </a:solidFill>
              <a:latin typeface="Calibri" pitchFamily="34" charset="0"/>
              <a:ea typeface="+mn-ea"/>
              <a:cs typeface="+mn-cs"/>
            </a:rPr>
            <a:t>(Traitements bruts, rémunérations connexes, prestations sociales et cotisations patronales.)</a:t>
          </a:r>
        </a:p>
        <a:p>
          <a:pPr algn="r">
            <a:lnSpc>
              <a:spcPts val="1000"/>
            </a:lnSpc>
          </a:pPr>
          <a:endParaRPr lang="fr-FR" sz="1100">
            <a:solidFill>
              <a:schemeClr val="bg1">
                <a:lumMod val="50000"/>
              </a:schemeClr>
            </a:solidFill>
          </a:endParaRPr>
        </a:p>
        <a:p>
          <a:pPr algn="r">
            <a:lnSpc>
              <a:spcPts val="900"/>
            </a:lnSpc>
          </a:pPr>
          <a:endParaRPr lang="fr-FR" sz="1100">
            <a:solidFill>
              <a:schemeClr val="bg1">
                <a:lumMod val="50000"/>
              </a:schemeClr>
            </a:solidFill>
          </a:endParaRPr>
        </a:p>
      </xdr:txBody>
    </xdr:sp>
    <xdr:clientData/>
  </xdr:twoCellAnchor>
  <xdr:twoCellAnchor>
    <xdr:from>
      <xdr:col>0</xdr:col>
      <xdr:colOff>0</xdr:colOff>
      <xdr:row>6</xdr:row>
      <xdr:rowOff>58208</xdr:rowOff>
    </xdr:from>
    <xdr:to>
      <xdr:col>4</xdr:col>
      <xdr:colOff>372534</xdr:colOff>
      <xdr:row>24</xdr:row>
      <xdr:rowOff>86361</xdr:rowOff>
    </xdr:to>
    <xdr:graphicFrame macro="">
      <xdr:nvGraphicFramePr>
        <xdr:cNvPr id="11" name="Graphique 1">
          <a:extLst>
            <a:ext uri="{FF2B5EF4-FFF2-40B4-BE49-F238E27FC236}">
              <a16:creationId xmlns:a16="http://schemas.microsoft.com/office/drawing/2014/main" id="{00000000-0008-0000-1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50800</xdr:colOff>
      <xdr:row>144</xdr:row>
      <xdr:rowOff>85726</xdr:rowOff>
    </xdr:from>
    <xdr:to>
      <xdr:col>12</xdr:col>
      <xdr:colOff>814917</xdr:colOff>
      <xdr:row>149</xdr:row>
      <xdr:rowOff>42334</xdr:rowOff>
    </xdr:to>
    <xdr:sp macro="" textlink="">
      <xdr:nvSpPr>
        <xdr:cNvPr id="13" name="ZoneTexte 12">
          <a:extLst>
            <a:ext uri="{FF2B5EF4-FFF2-40B4-BE49-F238E27FC236}">
              <a16:creationId xmlns:a16="http://schemas.microsoft.com/office/drawing/2014/main" id="{00000000-0008-0000-1700-00000D000000}"/>
            </a:ext>
          </a:extLst>
        </xdr:cNvPr>
        <xdr:cNvSpPr txBox="1"/>
      </xdr:nvSpPr>
      <xdr:spPr>
        <a:xfrm>
          <a:off x="50800" y="16955559"/>
          <a:ext cx="10617200" cy="718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900" b="0">
              <a:solidFill>
                <a:schemeClr val="bg1">
                  <a:lumMod val="50000"/>
                </a:schemeClr>
              </a:solidFill>
              <a:latin typeface="Calibri" pitchFamily="34" charset="0"/>
              <a:ea typeface="+mn-ea"/>
              <a:cs typeface="+mn-cs"/>
            </a:rPr>
            <a:t>La garantie individuelle du pouvoir d'achat résulte d'une comparaison établie entre l'évolution du traitement indiciaire brut détenu par l'agent sur une période de référence de 4 ans et celle de l'indice des prix à la consommation (IPC hors tabac en moyenne annuelle) sur la même période. Si le traitement indiciaire brut effectivement perçu par l'agent au terme de la période a évolué moins vite que l'inflation, un montant indemnitaire brut équivalent à la perte de pouvoir d'achat ainsi constatée est versé à chaque agent concerné.</a:t>
          </a:r>
        </a:p>
      </xdr:txBody>
    </xdr:sp>
    <xdr:clientData/>
  </xdr:twoCellAnchor>
  <xdr:twoCellAnchor>
    <xdr:from>
      <xdr:col>7</xdr:col>
      <xdr:colOff>324275</xdr:colOff>
      <xdr:row>102</xdr:row>
      <xdr:rowOff>62446</xdr:rowOff>
    </xdr:from>
    <xdr:to>
      <xdr:col>12</xdr:col>
      <xdr:colOff>414657</xdr:colOff>
      <xdr:row>107</xdr:row>
      <xdr:rowOff>273262</xdr:rowOff>
    </xdr:to>
    <xdr:sp macro="" textlink="">
      <xdr:nvSpPr>
        <xdr:cNvPr id="16" name="ZoneTexte 15">
          <a:extLst>
            <a:ext uri="{FF2B5EF4-FFF2-40B4-BE49-F238E27FC236}">
              <a16:creationId xmlns:a16="http://schemas.microsoft.com/office/drawing/2014/main" id="{00000000-0008-0000-1700-000010000000}"/>
            </a:ext>
          </a:extLst>
        </xdr:cNvPr>
        <xdr:cNvSpPr txBox="1"/>
      </xdr:nvSpPr>
      <xdr:spPr>
        <a:xfrm>
          <a:off x="6663692" y="11788779"/>
          <a:ext cx="4418965" cy="174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1000">
              <a:solidFill>
                <a:schemeClr val="bg1">
                  <a:lumMod val="50000"/>
                </a:schemeClr>
              </a:solidFill>
              <a:latin typeface="Calibri" panose="020F0502020204030204" pitchFamily="34" charset="0"/>
            </a:rPr>
            <a:t>Le supplément familial de traitement (SFT) est versé à tout agent public, fonctionnaire ou contractuel, qui a au moins un enfant à charge. Le montant du SFT dépend du nombre d'enfants à charge et de l'indice majoré de l'agent.</a:t>
          </a:r>
          <a:endParaRPr lang="fr-FR" sz="1100" b="0" i="0" u="none" strike="noStrike">
            <a:solidFill>
              <a:schemeClr val="bg1">
                <a:lumMod val="50000"/>
              </a:schemeClr>
            </a:solidFill>
            <a:effectLst/>
            <a:latin typeface="+mn-lt"/>
            <a:ea typeface="+mn-ea"/>
            <a:cs typeface="+mn-cs"/>
          </a:endParaRPr>
        </a:p>
        <a:p>
          <a:pPr algn="just"/>
          <a:endParaRPr lang="fr-FR" sz="1100" b="0" i="0" u="none" strike="noStrike">
            <a:solidFill>
              <a:schemeClr val="bg1">
                <a:lumMod val="50000"/>
              </a:schemeClr>
            </a:solidFill>
            <a:effectLst/>
            <a:latin typeface="+mn-lt"/>
            <a:ea typeface="+mn-ea"/>
            <a:cs typeface="+mn-cs"/>
          </a:endParaRPr>
        </a:p>
        <a:p>
          <a:pPr algn="just"/>
          <a:r>
            <a:rPr lang="fr-FR" sz="1000">
              <a:solidFill>
                <a:schemeClr val="bg1">
                  <a:lumMod val="50000"/>
                </a:schemeClr>
              </a:solidFill>
              <a:latin typeface="Calibri" panose="020F0502020204030204" pitchFamily="34" charset="0"/>
              <a:ea typeface="+mn-ea"/>
              <a:cs typeface="+mn-cs"/>
            </a:rPr>
            <a:t>Pour un enfant le montant mensuel</a:t>
          </a:r>
          <a:r>
            <a:rPr lang="fr-FR" sz="1000" baseline="0">
              <a:solidFill>
                <a:schemeClr val="bg1">
                  <a:lumMod val="50000"/>
                </a:schemeClr>
              </a:solidFill>
              <a:latin typeface="Calibri" panose="020F0502020204030204" pitchFamily="34" charset="0"/>
              <a:ea typeface="+mn-ea"/>
              <a:cs typeface="+mn-cs"/>
            </a:rPr>
            <a:t> </a:t>
          </a:r>
          <a:r>
            <a:rPr lang="fr-FR" sz="1000">
              <a:solidFill>
                <a:schemeClr val="bg1">
                  <a:lumMod val="50000"/>
                </a:schemeClr>
              </a:solidFill>
              <a:latin typeface="Calibri" panose="020F0502020204030204" pitchFamily="34" charset="0"/>
              <a:ea typeface="+mn-ea"/>
              <a:cs typeface="+mn-cs"/>
            </a:rPr>
            <a:t>est de 2,29 €.</a:t>
          </a:r>
        </a:p>
        <a:p>
          <a:pPr algn="just"/>
          <a:r>
            <a:rPr lang="fr-FR" sz="1000">
              <a:solidFill>
                <a:schemeClr val="bg1">
                  <a:lumMod val="50000"/>
                </a:schemeClr>
              </a:solidFill>
              <a:latin typeface="Calibri" panose="020F0502020204030204" pitchFamily="34" charset="0"/>
              <a:ea typeface="+mn-ea"/>
              <a:cs typeface="+mn-cs"/>
            </a:rPr>
            <a:t>Pour deux enfants, le montant</a:t>
          </a:r>
          <a:r>
            <a:rPr lang="fr-FR" sz="1000" baseline="0">
              <a:solidFill>
                <a:schemeClr val="bg1">
                  <a:lumMod val="50000"/>
                </a:schemeClr>
              </a:solidFill>
              <a:latin typeface="Calibri" panose="020F0502020204030204" pitchFamily="34" charset="0"/>
              <a:ea typeface="+mn-ea"/>
              <a:cs typeface="+mn-cs"/>
            </a:rPr>
            <a:t> minimum mensuel est de 73,79 €.</a:t>
          </a:r>
        </a:p>
        <a:p>
          <a:pPr algn="just"/>
          <a:r>
            <a:rPr lang="fr-FR" sz="1000" baseline="0">
              <a:solidFill>
                <a:schemeClr val="bg1">
                  <a:lumMod val="50000"/>
                </a:schemeClr>
              </a:solidFill>
              <a:latin typeface="Calibri" panose="020F0502020204030204" pitchFamily="34" charset="0"/>
              <a:ea typeface="+mn-ea"/>
              <a:cs typeface="+mn-cs"/>
            </a:rPr>
            <a:t>Pour trois enfants, le montant minimum mensuel est de 284,03 €.</a:t>
          </a:r>
        </a:p>
        <a:p>
          <a:pPr algn="just"/>
          <a:r>
            <a:rPr lang="fr-FR" sz="1000" baseline="0">
              <a:solidFill>
                <a:schemeClr val="bg1">
                  <a:lumMod val="50000"/>
                </a:schemeClr>
              </a:solidFill>
              <a:latin typeface="Calibri" panose="020F0502020204030204" pitchFamily="34" charset="0"/>
              <a:ea typeface="+mn-ea"/>
              <a:cs typeface="+mn-cs"/>
            </a:rPr>
            <a:t>Au delà de trois enfants, s'ajoutent un montant minimum de 130,81 € par enfant.</a:t>
          </a:r>
        </a:p>
        <a:p>
          <a:pPr algn="just"/>
          <a:endParaRPr lang="fr-FR" sz="1000" baseline="0">
            <a:solidFill>
              <a:schemeClr val="bg1">
                <a:lumMod val="50000"/>
              </a:schemeClr>
            </a:solidFill>
            <a:latin typeface="Calibri" panose="020F0502020204030204" pitchFamily="34" charset="0"/>
            <a:ea typeface="+mn-ea"/>
            <a:cs typeface="+mn-cs"/>
          </a:endParaRPr>
        </a:p>
        <a:p>
          <a:pPr algn="r"/>
          <a:r>
            <a:rPr lang="fr-FR" sz="1000" i="1" baseline="0">
              <a:solidFill>
                <a:schemeClr val="bg1">
                  <a:lumMod val="50000"/>
                </a:schemeClr>
              </a:solidFill>
              <a:latin typeface="Calibri" panose="020F0502020204030204" pitchFamily="34" charset="0"/>
              <a:ea typeface="+mn-ea"/>
              <a:cs typeface="+mn-cs"/>
            </a:rPr>
            <a:t>Source : service-public.fr</a:t>
          </a:r>
          <a:endParaRPr lang="fr-FR" sz="1000" i="1">
            <a:solidFill>
              <a:schemeClr val="bg1">
                <a:lumMod val="50000"/>
              </a:schemeClr>
            </a:solidFill>
            <a:latin typeface="Calibri" panose="020F0502020204030204" pitchFamily="34" charset="0"/>
            <a:ea typeface="+mn-ea"/>
            <a:cs typeface="+mn-cs"/>
          </a:endParaRPr>
        </a:p>
      </xdr:txBody>
    </xdr:sp>
    <xdr:clientData/>
  </xdr:twoCellAnchor>
  <xdr:twoCellAnchor>
    <xdr:from>
      <xdr:col>5</xdr:col>
      <xdr:colOff>227967</xdr:colOff>
      <xdr:row>10</xdr:row>
      <xdr:rowOff>25188</xdr:rowOff>
    </xdr:from>
    <xdr:to>
      <xdr:col>11</xdr:col>
      <xdr:colOff>124883</xdr:colOff>
      <xdr:row>25</xdr:row>
      <xdr:rowOff>16935</xdr:rowOff>
    </xdr:to>
    <xdr:graphicFrame macro="">
      <xdr:nvGraphicFramePr>
        <xdr:cNvPr id="5" name="Graphique 4">
          <a:extLst>
            <a:ext uri="{FF2B5EF4-FFF2-40B4-BE49-F238E27FC236}">
              <a16:creationId xmlns:a16="http://schemas.microsoft.com/office/drawing/2014/main" id="{00000000-0008-0000-1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820632</xdr:colOff>
      <xdr:row>116</xdr:row>
      <xdr:rowOff>96097</xdr:rowOff>
    </xdr:from>
    <xdr:to>
      <xdr:col>12</xdr:col>
      <xdr:colOff>668444</xdr:colOff>
      <xdr:row>129</xdr:row>
      <xdr:rowOff>116417</xdr:rowOff>
    </xdr:to>
    <xdr:sp macro="" textlink="">
      <xdr:nvSpPr>
        <xdr:cNvPr id="14" name="ZoneTexte 13">
          <a:extLst>
            <a:ext uri="{FF2B5EF4-FFF2-40B4-BE49-F238E27FC236}">
              <a16:creationId xmlns:a16="http://schemas.microsoft.com/office/drawing/2014/main" id="{730C4B6A-FE09-41FD-A0D8-D986F1448779}"/>
            </a:ext>
          </a:extLst>
        </xdr:cNvPr>
        <xdr:cNvSpPr txBox="1"/>
      </xdr:nvSpPr>
      <xdr:spPr>
        <a:xfrm>
          <a:off x="7160049" y="15325514"/>
          <a:ext cx="4176395" cy="23274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100">
              <a:solidFill>
                <a:schemeClr val="bg1">
                  <a:lumMod val="50000"/>
                </a:schemeClr>
              </a:solidFill>
              <a:latin typeface="Calibri" pitchFamily="34" charset="0"/>
              <a:ea typeface="+mn-ea"/>
              <a:cs typeface="+mn-cs"/>
            </a:rPr>
            <a:t>Les personnels vacataires qui effectuent des heures d'enseignement</a:t>
          </a:r>
        </a:p>
        <a:p>
          <a:pPr algn="r"/>
          <a:r>
            <a:rPr lang="fr-FR" sz="1100">
              <a:solidFill>
                <a:srgbClr val="00B050"/>
              </a:solidFill>
              <a:latin typeface="Calibri" pitchFamily="34" charset="0"/>
              <a:ea typeface="+mn-ea"/>
              <a:cs typeface="+mn-cs"/>
            </a:rPr>
            <a:t>1 712 </a:t>
          </a:r>
          <a:r>
            <a:rPr lang="fr-FR" sz="1100">
              <a:solidFill>
                <a:schemeClr val="bg1">
                  <a:lumMod val="50000"/>
                </a:schemeClr>
              </a:solidFill>
              <a:latin typeface="Calibri" pitchFamily="34" charset="0"/>
              <a:ea typeface="+mn-ea"/>
              <a:cs typeface="+mn-cs"/>
            </a:rPr>
            <a:t>vacataires</a:t>
          </a:r>
        </a:p>
        <a:p>
          <a:pPr algn="r"/>
          <a:r>
            <a:rPr lang="fr-FR" sz="1100" baseline="0">
              <a:solidFill>
                <a:srgbClr val="00B050"/>
              </a:solidFill>
              <a:latin typeface="Calibri" pitchFamily="34" charset="0"/>
              <a:ea typeface="+mn-ea"/>
              <a:cs typeface="+mn-cs"/>
            </a:rPr>
            <a:t>75 923 </a:t>
          </a:r>
          <a:r>
            <a:rPr lang="fr-FR" sz="1100" baseline="0">
              <a:solidFill>
                <a:schemeClr val="bg1">
                  <a:lumMod val="50000"/>
                </a:schemeClr>
              </a:solidFill>
              <a:latin typeface="Calibri" pitchFamily="34" charset="0"/>
              <a:ea typeface="+mn-ea"/>
              <a:cs typeface="+mn-cs"/>
            </a:rPr>
            <a:t>heures</a:t>
          </a:r>
          <a:r>
            <a:rPr lang="fr-FR" sz="1100" baseline="0">
              <a:solidFill>
                <a:srgbClr val="FF0000"/>
              </a:solidFill>
              <a:latin typeface="Calibri" pitchFamily="34" charset="0"/>
              <a:ea typeface="+mn-ea"/>
              <a:cs typeface="+mn-cs"/>
            </a:rPr>
            <a:t> </a:t>
          </a:r>
          <a:r>
            <a:rPr lang="fr-FR" sz="1100" baseline="0">
              <a:solidFill>
                <a:schemeClr val="bg1">
                  <a:lumMod val="50000"/>
                </a:schemeClr>
              </a:solidFill>
              <a:latin typeface="Calibri" pitchFamily="34" charset="0"/>
              <a:ea typeface="+mn-ea"/>
              <a:cs typeface="+mn-cs"/>
            </a:rPr>
            <a:t>*;</a:t>
          </a:r>
          <a:endParaRPr lang="fr-FR" sz="1100">
            <a:solidFill>
              <a:schemeClr val="bg1">
                <a:lumMod val="50000"/>
              </a:schemeClr>
            </a:solidFill>
            <a:latin typeface="Calibri" pitchFamily="34" charset="0"/>
            <a:ea typeface="+mn-ea"/>
            <a:cs typeface="+mn-cs"/>
          </a:endParaRPr>
        </a:p>
        <a:p>
          <a:pPr algn="r"/>
          <a:endParaRPr lang="fr-FR" sz="1100">
            <a:solidFill>
              <a:srgbClr val="FF0000"/>
            </a:solidFill>
            <a:latin typeface="Calibri" pitchFamily="34" charset="0"/>
            <a:ea typeface="+mn-ea"/>
            <a:cs typeface="+mn-cs"/>
          </a:endParaRPr>
        </a:p>
        <a:p>
          <a:pPr algn="r"/>
          <a:r>
            <a:rPr lang="fr-FR" sz="1100">
              <a:solidFill>
                <a:schemeClr val="bg1">
                  <a:lumMod val="50000"/>
                </a:schemeClr>
              </a:solidFill>
              <a:latin typeface="Calibri" pitchFamily="34" charset="0"/>
              <a:ea typeface="+mn-ea"/>
              <a:cs typeface="+mn-cs"/>
            </a:rPr>
            <a:t>Sur l'année 2021, les</a:t>
          </a:r>
          <a:r>
            <a:rPr lang="fr-FR" sz="1100" baseline="0">
              <a:solidFill>
                <a:schemeClr val="bg1">
                  <a:lumMod val="50000"/>
                </a:schemeClr>
              </a:solidFill>
              <a:latin typeface="Calibri" pitchFamily="34" charset="0"/>
              <a:ea typeface="+mn-ea"/>
              <a:cs typeface="+mn-cs"/>
            </a:rPr>
            <a:t> vacataires représentaient :</a:t>
          </a:r>
          <a:endParaRPr lang="fr-FR" sz="1100">
            <a:solidFill>
              <a:schemeClr val="bg1">
                <a:lumMod val="50000"/>
              </a:schemeClr>
            </a:solidFill>
            <a:latin typeface="Calibri" pitchFamily="34" charset="0"/>
            <a:ea typeface="+mn-ea"/>
            <a:cs typeface="+mn-cs"/>
          </a:endParaRPr>
        </a:p>
        <a:p>
          <a:pPr marL="0" indent="0" algn="r"/>
          <a:r>
            <a:rPr lang="fr-FR" sz="1100">
              <a:solidFill>
                <a:schemeClr val="bg1">
                  <a:lumMod val="50000"/>
                </a:schemeClr>
              </a:solidFill>
              <a:latin typeface="Calibri" pitchFamily="34" charset="0"/>
              <a:ea typeface="+mn-ea"/>
              <a:cs typeface="+mn-cs"/>
            </a:rPr>
            <a:t>1 796 vacataires</a:t>
          </a:r>
        </a:p>
        <a:p>
          <a:pPr marL="0" indent="0" algn="r"/>
          <a:r>
            <a:rPr lang="fr-FR" sz="1100">
              <a:solidFill>
                <a:schemeClr val="bg1">
                  <a:lumMod val="50000"/>
                </a:schemeClr>
              </a:solidFill>
              <a:latin typeface="Calibri" pitchFamily="34" charset="0"/>
              <a:ea typeface="+mn-ea"/>
              <a:cs typeface="+mn-cs"/>
            </a:rPr>
            <a:t>75 933 heures</a:t>
          </a:r>
          <a:r>
            <a:rPr lang="fr-FR" sz="1100" baseline="0">
              <a:solidFill>
                <a:schemeClr val="bg1">
                  <a:lumMod val="50000"/>
                </a:schemeClr>
              </a:solidFill>
              <a:latin typeface="Calibri" pitchFamily="34" charset="0"/>
              <a:ea typeface="+mn-ea"/>
              <a:cs typeface="+mn-cs"/>
            </a:rPr>
            <a:t> *;</a:t>
          </a:r>
        </a:p>
        <a:p>
          <a:pPr algn="r"/>
          <a:endParaRPr lang="fr-FR" sz="1100">
            <a:solidFill>
              <a:schemeClr val="dk1"/>
            </a:solidFill>
            <a:effectLst/>
            <a:latin typeface="+mn-lt"/>
            <a:ea typeface="+mn-ea"/>
            <a:cs typeface="+mn-cs"/>
          </a:endParaRPr>
        </a:p>
        <a:p>
          <a:pPr algn="r"/>
          <a:r>
            <a:rPr lang="fr-FR" sz="1100">
              <a:solidFill>
                <a:schemeClr val="bg1">
                  <a:lumMod val="50000"/>
                </a:schemeClr>
              </a:solidFill>
              <a:latin typeface="Calibri" pitchFamily="34" charset="0"/>
              <a:ea typeface="+mn-ea"/>
              <a:cs typeface="+mn-cs"/>
            </a:rPr>
            <a:t>et durant l'année 2020, ils représentaient :</a:t>
          </a:r>
        </a:p>
        <a:p>
          <a:pPr marL="0" indent="0" algn="r"/>
          <a:r>
            <a:rPr lang="fr-FR" sz="1100">
              <a:solidFill>
                <a:schemeClr val="bg1">
                  <a:lumMod val="50000"/>
                </a:schemeClr>
              </a:solidFill>
              <a:latin typeface="Calibri" pitchFamily="34" charset="0"/>
              <a:ea typeface="+mn-ea"/>
              <a:cs typeface="+mn-cs"/>
            </a:rPr>
            <a:t>1 796 vacataires</a:t>
          </a:r>
        </a:p>
        <a:p>
          <a:pPr marL="0" indent="0" algn="r"/>
          <a:r>
            <a:rPr lang="fr-FR" sz="1100">
              <a:solidFill>
                <a:schemeClr val="bg1">
                  <a:lumMod val="50000"/>
                </a:schemeClr>
              </a:solidFill>
              <a:latin typeface="Calibri" pitchFamily="34" charset="0"/>
              <a:ea typeface="+mn-ea"/>
              <a:cs typeface="+mn-cs"/>
            </a:rPr>
            <a:t>77 696 heures *.</a:t>
          </a:r>
        </a:p>
        <a:p>
          <a:endParaRPr lang="fr-FR" sz="1100">
            <a:solidFill>
              <a:srgbClr val="FF0000"/>
            </a:solidFill>
          </a:endParaRPr>
        </a:p>
        <a:p>
          <a:r>
            <a:rPr lang="fr-FR" sz="1100">
              <a:solidFill>
                <a:schemeClr val="bg1">
                  <a:lumMod val="50000"/>
                </a:schemeClr>
              </a:solidFill>
              <a:latin typeface="Calibri" panose="020F0502020204030204" pitchFamily="34" charset="0"/>
              <a:cs typeface="Calibri" panose="020F0502020204030204" pitchFamily="34" charset="0"/>
            </a:rPr>
            <a:t>* : équivalent TD</a:t>
          </a:r>
        </a:p>
      </xdr:txBody>
    </xdr:sp>
    <xdr:clientData/>
  </xdr:twoCellAnchor>
  <xdr:twoCellAnchor>
    <xdr:from>
      <xdr:col>1</xdr:col>
      <xdr:colOff>60538</xdr:colOff>
      <xdr:row>89</xdr:row>
      <xdr:rowOff>102023</xdr:rowOff>
    </xdr:from>
    <xdr:to>
      <xdr:col>8</xdr:col>
      <xdr:colOff>200026</xdr:colOff>
      <xdr:row>91</xdr:row>
      <xdr:rowOff>86572</xdr:rowOff>
    </xdr:to>
    <xdr:sp macro="" textlink="">
      <xdr:nvSpPr>
        <xdr:cNvPr id="6" name="ZoneTexte 5">
          <a:extLst>
            <a:ext uri="{FF2B5EF4-FFF2-40B4-BE49-F238E27FC236}">
              <a16:creationId xmlns:a16="http://schemas.microsoft.com/office/drawing/2014/main" id="{10531B4D-FE4C-45DD-9AFA-F4DC27CEE619}"/>
            </a:ext>
          </a:extLst>
        </xdr:cNvPr>
        <xdr:cNvSpPr txBox="1"/>
      </xdr:nvSpPr>
      <xdr:spPr>
        <a:xfrm>
          <a:off x="289138" y="14294273"/>
          <a:ext cx="6826038" cy="346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1000">
              <a:solidFill>
                <a:schemeClr val="bg1">
                  <a:lumMod val="50000"/>
                </a:schemeClr>
              </a:solidFill>
              <a:latin typeface="Calibri" panose="020F0502020204030204" pitchFamily="34" charset="0"/>
              <a:ea typeface="+mn-ea"/>
              <a:cs typeface="+mn-cs"/>
            </a:rPr>
            <a:t>Les éléments connexes aux rémunérations principales correspondent aux diférentes primes et indemnités versées aux agents.</a:t>
          </a:r>
        </a:p>
      </xdr:txBody>
    </xdr:sp>
    <xdr:clientData/>
  </xdr:twoCellAnchor>
  <xdr:twoCellAnchor>
    <xdr:from>
      <xdr:col>1</xdr:col>
      <xdr:colOff>1000125</xdr:colOff>
      <xdr:row>38</xdr:row>
      <xdr:rowOff>112608</xdr:rowOff>
    </xdr:from>
    <xdr:to>
      <xdr:col>7</xdr:col>
      <xdr:colOff>220981</xdr:colOff>
      <xdr:row>49</xdr:row>
      <xdr:rowOff>112395</xdr:rowOff>
    </xdr:to>
    <xdr:sp macro="" textlink="">
      <xdr:nvSpPr>
        <xdr:cNvPr id="7" name="ZoneTexte 6">
          <a:extLst>
            <a:ext uri="{FF2B5EF4-FFF2-40B4-BE49-F238E27FC236}">
              <a16:creationId xmlns:a16="http://schemas.microsoft.com/office/drawing/2014/main" id="{4B0FA4E3-AD06-4A57-A272-3E134D493F2F}"/>
            </a:ext>
          </a:extLst>
        </xdr:cNvPr>
        <xdr:cNvSpPr txBox="1"/>
      </xdr:nvSpPr>
      <xdr:spPr>
        <a:xfrm>
          <a:off x="1228725" y="5589483"/>
          <a:ext cx="5202556" cy="1466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r">
            <a:lnSpc>
              <a:spcPts val="2000"/>
            </a:lnSpc>
          </a:pPr>
          <a:r>
            <a:rPr lang="fr-FR" sz="2000" b="0">
              <a:solidFill>
                <a:srgbClr val="00B050"/>
              </a:solidFill>
              <a:latin typeface="Calibri" pitchFamily="34" charset="0"/>
              <a:ea typeface="+mn-ea"/>
              <a:cs typeface="+mn-cs"/>
            </a:rPr>
            <a:t>1 590 904 € </a:t>
          </a:r>
          <a:r>
            <a:rPr lang="fr-FR" sz="1200" b="0">
              <a:solidFill>
                <a:schemeClr val="bg1">
                  <a:lumMod val="50000"/>
                </a:schemeClr>
              </a:solidFill>
              <a:latin typeface="Calibri" pitchFamily="34" charset="0"/>
              <a:ea typeface="+mn-ea"/>
              <a:cs typeface="+mn-cs"/>
            </a:rPr>
            <a:t>(+ 4% par</a:t>
          </a:r>
          <a:r>
            <a:rPr lang="fr-FR" sz="1200" b="0" baseline="0">
              <a:solidFill>
                <a:schemeClr val="bg1">
                  <a:lumMod val="50000"/>
                </a:schemeClr>
              </a:solidFill>
              <a:latin typeface="Calibri" pitchFamily="34" charset="0"/>
              <a:ea typeface="+mn-ea"/>
              <a:cs typeface="+mn-cs"/>
            </a:rPr>
            <a:t> rapport à 2021)</a:t>
          </a:r>
          <a:endParaRPr lang="fr-FR" sz="2000" b="0">
            <a:solidFill>
              <a:schemeClr val="bg1">
                <a:lumMod val="50000"/>
              </a:schemeClr>
            </a:solidFill>
            <a:latin typeface="Calibri" pitchFamily="34" charset="0"/>
            <a:ea typeface="+mn-ea"/>
            <a:cs typeface="+mn-cs"/>
          </a:endParaRPr>
        </a:p>
        <a:p>
          <a:pPr marL="0" indent="0" algn="r">
            <a:lnSpc>
              <a:spcPts val="2000"/>
            </a:lnSpc>
          </a:pPr>
          <a:r>
            <a:rPr lang="fr-FR" sz="1200" b="0">
              <a:solidFill>
                <a:schemeClr val="bg1">
                  <a:lumMod val="50000"/>
                </a:schemeClr>
              </a:solidFill>
              <a:latin typeface="Calibri" pitchFamily="34" charset="0"/>
              <a:ea typeface="+mn-ea"/>
              <a:cs typeface="+mn-cs"/>
            </a:rPr>
            <a:t>Somme des 10 plus hautes rémunérations 2022 (hors heures complémentaires)</a:t>
          </a:r>
        </a:p>
        <a:p>
          <a:pPr marL="0" indent="0" algn="r">
            <a:lnSpc>
              <a:spcPts val="2000"/>
            </a:lnSpc>
          </a:pPr>
          <a:r>
            <a:rPr lang="fr-FR" sz="1200" b="0">
              <a:solidFill>
                <a:schemeClr val="bg1">
                  <a:lumMod val="50000"/>
                </a:schemeClr>
              </a:solidFill>
              <a:latin typeface="Calibri" pitchFamily="34" charset="0"/>
              <a:ea typeface="+mn-ea"/>
              <a:cs typeface="+mn-cs"/>
            </a:rPr>
            <a:t>composition : 1 femmes et 9 hommes </a:t>
          </a:r>
          <a:r>
            <a:rPr lang="fr-FR" sz="1000" b="0">
              <a:solidFill>
                <a:schemeClr val="bg1">
                  <a:lumMod val="50000"/>
                </a:schemeClr>
              </a:solidFill>
              <a:latin typeface="Calibri" pitchFamily="34" charset="0"/>
              <a:ea typeface="+mn-ea"/>
              <a:cs typeface="+mn-cs"/>
            </a:rPr>
            <a:t>(3 femmes</a:t>
          </a:r>
          <a:r>
            <a:rPr lang="fr-FR" sz="1000" b="0" baseline="0">
              <a:solidFill>
                <a:schemeClr val="bg1">
                  <a:lumMod val="50000"/>
                </a:schemeClr>
              </a:solidFill>
              <a:latin typeface="Calibri" pitchFamily="34" charset="0"/>
              <a:ea typeface="+mn-ea"/>
              <a:cs typeface="+mn-cs"/>
            </a:rPr>
            <a:t> - 7 femmes en 2021)</a:t>
          </a:r>
          <a:endParaRPr lang="fr-FR" sz="1000" b="0">
            <a:solidFill>
              <a:schemeClr val="bg1">
                <a:lumMod val="50000"/>
              </a:schemeClr>
            </a:solidFill>
            <a:latin typeface="Calibri" pitchFamily="34" charset="0"/>
            <a:ea typeface="+mn-ea"/>
            <a:cs typeface="+mn-cs"/>
          </a:endParaRPr>
        </a:p>
        <a:p>
          <a:pPr algn="r"/>
          <a:r>
            <a:rPr lang="fr-FR" sz="1200" b="0">
              <a:solidFill>
                <a:schemeClr val="bg1">
                  <a:lumMod val="50000"/>
                </a:schemeClr>
              </a:solidFill>
              <a:latin typeface="Calibri" pitchFamily="34" charset="0"/>
              <a:ea typeface="+mn-ea"/>
              <a:cs typeface="+mn-cs"/>
            </a:rPr>
            <a:t>Cette somme représente </a:t>
          </a:r>
          <a:r>
            <a:rPr lang="fr-FR" sz="2000" b="0">
              <a:solidFill>
                <a:schemeClr val="bg1">
                  <a:lumMod val="50000"/>
                </a:schemeClr>
              </a:solidFill>
              <a:latin typeface="Calibri" pitchFamily="34" charset="0"/>
              <a:ea typeface="+mn-ea"/>
              <a:cs typeface="+mn-cs"/>
            </a:rPr>
            <a:t>1,35 </a:t>
          </a:r>
          <a:r>
            <a:rPr lang="fr-FR" sz="1200" b="0">
              <a:solidFill>
                <a:schemeClr val="bg1">
                  <a:lumMod val="50000"/>
                </a:schemeClr>
              </a:solidFill>
              <a:latin typeface="Calibri" pitchFamily="34" charset="0"/>
              <a:ea typeface="+mn-ea"/>
              <a:cs typeface="+mn-cs"/>
            </a:rPr>
            <a:t>% de la MS Totale de L'UJM.</a:t>
          </a:r>
        </a:p>
      </xdr:txBody>
    </xdr:sp>
    <xdr:clientData/>
  </xdr:twoCellAnchor>
  <xdr:twoCellAnchor>
    <xdr:from>
      <xdr:col>5</xdr:col>
      <xdr:colOff>392429</xdr:colOff>
      <xdr:row>30</xdr:row>
      <xdr:rowOff>30479</xdr:rowOff>
    </xdr:from>
    <xdr:to>
      <xdr:col>9</xdr:col>
      <xdr:colOff>533400</xdr:colOff>
      <xdr:row>34</xdr:row>
      <xdr:rowOff>80009</xdr:rowOff>
    </xdr:to>
    <xdr:sp macro="" textlink="">
      <xdr:nvSpPr>
        <xdr:cNvPr id="9" name="ZoneTexte 8">
          <a:extLst>
            <a:ext uri="{FF2B5EF4-FFF2-40B4-BE49-F238E27FC236}">
              <a16:creationId xmlns:a16="http://schemas.microsoft.com/office/drawing/2014/main" id="{7DB7D8A0-FB6A-45F2-A345-4D700AD62FC4}"/>
            </a:ext>
          </a:extLst>
        </xdr:cNvPr>
        <xdr:cNvSpPr txBox="1"/>
      </xdr:nvSpPr>
      <xdr:spPr>
        <a:xfrm>
          <a:off x="4973954" y="4250054"/>
          <a:ext cx="4189096" cy="7353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1200" b="0">
              <a:solidFill>
                <a:schemeClr val="bg1">
                  <a:lumMod val="50000"/>
                </a:schemeClr>
              </a:solidFill>
              <a:latin typeface="Calibri" pitchFamily="34" charset="0"/>
              <a:ea typeface="+mn-ea"/>
              <a:cs typeface="+mn-cs"/>
            </a:rPr>
            <a:t>Sur la période 2019-2021, la masse salariale de l'UJM a progressé de 8 % en grande partie</a:t>
          </a:r>
          <a:r>
            <a:rPr lang="fr-FR" sz="1200" b="0" baseline="0">
              <a:solidFill>
                <a:schemeClr val="bg1">
                  <a:lumMod val="50000"/>
                </a:schemeClr>
              </a:solidFill>
              <a:latin typeface="Calibri" pitchFamily="34" charset="0"/>
              <a:ea typeface="+mn-ea"/>
              <a:cs typeface="+mn-cs"/>
            </a:rPr>
            <a:t> grace à l'augmentation de la masse salariale Ressources Propres (+</a:t>
          </a:r>
          <a:r>
            <a:rPr lang="fr-FR" sz="1200" b="0" baseline="0">
              <a:solidFill>
                <a:srgbClr val="00B050"/>
              </a:solidFill>
              <a:latin typeface="Calibri" pitchFamily="34" charset="0"/>
              <a:ea typeface="+mn-ea"/>
              <a:cs typeface="+mn-cs"/>
            </a:rPr>
            <a:t>31</a:t>
          </a:r>
          <a:r>
            <a:rPr lang="fr-FR" sz="1200" b="0" baseline="0">
              <a:solidFill>
                <a:schemeClr val="bg1">
                  <a:lumMod val="50000"/>
                </a:schemeClr>
              </a:solidFill>
              <a:latin typeface="Calibri" pitchFamily="34" charset="0"/>
              <a:ea typeface="+mn-ea"/>
              <a:cs typeface="+mn-cs"/>
            </a:rPr>
            <a:t>% sur la période).</a:t>
          </a:r>
          <a:endParaRPr lang="fr-FR" sz="1200" b="0">
            <a:solidFill>
              <a:schemeClr val="bg1">
                <a:lumMod val="50000"/>
              </a:schemeClr>
            </a:solidFill>
            <a:latin typeface="Calibri" pitchFamily="34" charset="0"/>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oneCellAnchor>
    <xdr:from>
      <xdr:col>26</xdr:col>
      <xdr:colOff>249554</xdr:colOff>
      <xdr:row>28</xdr:row>
      <xdr:rowOff>9525</xdr:rowOff>
    </xdr:from>
    <xdr:ext cx="2326005" cy="1733550"/>
    <xdr:sp macro="" textlink="">
      <xdr:nvSpPr>
        <xdr:cNvPr id="2" name="ZoneTexte 1">
          <a:extLst>
            <a:ext uri="{FF2B5EF4-FFF2-40B4-BE49-F238E27FC236}">
              <a16:creationId xmlns:a16="http://schemas.microsoft.com/office/drawing/2014/main" id="{7B78F0EB-AB6E-48DE-8164-C609B28FE54D}"/>
            </a:ext>
          </a:extLst>
        </xdr:cNvPr>
        <xdr:cNvSpPr txBox="1"/>
      </xdr:nvSpPr>
      <xdr:spPr>
        <a:xfrm>
          <a:off x="11784329" y="4838700"/>
          <a:ext cx="2326005" cy="173355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fr-FR" sz="900" b="0" i="0" u="none" strike="noStrike">
            <a:solidFill>
              <a:srgbClr val="00B050"/>
            </a:solidFill>
            <a:effectLst/>
            <a:latin typeface="Calibri" panose="020F0502020204030204" pitchFamily="34" charset="0"/>
            <a:ea typeface="+mn-ea"/>
            <a:cs typeface="+mn-cs"/>
          </a:endParaRPr>
        </a:p>
      </xdr:txBody>
    </xdr:sp>
    <xdr:clientData/>
  </xdr:oneCellAnchor>
</xdr:wsDr>
</file>

<file path=xl/drawings/drawing24.xml><?xml version="1.0" encoding="utf-8"?>
<xdr:wsDr xmlns:xdr="http://schemas.openxmlformats.org/drawingml/2006/spreadsheetDrawing" xmlns:a="http://schemas.openxmlformats.org/drawingml/2006/main">
  <xdr:twoCellAnchor>
    <xdr:from>
      <xdr:col>13</xdr:col>
      <xdr:colOff>457200</xdr:colOff>
      <xdr:row>28</xdr:row>
      <xdr:rowOff>98021</xdr:rowOff>
    </xdr:from>
    <xdr:to>
      <xdr:col>19</xdr:col>
      <xdr:colOff>228600</xdr:colOff>
      <xdr:row>36</xdr:row>
      <xdr:rowOff>72390</xdr:rowOff>
    </xdr:to>
    <xdr:sp macro="" textlink="">
      <xdr:nvSpPr>
        <xdr:cNvPr id="2" name="ZoneTexte 1">
          <a:extLst>
            <a:ext uri="{FF2B5EF4-FFF2-40B4-BE49-F238E27FC236}">
              <a16:creationId xmlns:a16="http://schemas.microsoft.com/office/drawing/2014/main" id="{00000000-0008-0000-1900-000002000000}"/>
            </a:ext>
          </a:extLst>
        </xdr:cNvPr>
        <xdr:cNvSpPr txBox="1"/>
      </xdr:nvSpPr>
      <xdr:spPr>
        <a:xfrm>
          <a:off x="6962775" y="5089121"/>
          <a:ext cx="2571750" cy="1126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900" b="1">
              <a:solidFill>
                <a:schemeClr val="bg1">
                  <a:lumMod val="50000"/>
                </a:schemeClr>
              </a:solidFill>
              <a:latin typeface="Calibri" panose="020F0502020204030204" pitchFamily="34" charset="0"/>
            </a:rPr>
            <a:t>Nombres moyens d'heures</a:t>
          </a:r>
          <a:r>
            <a:rPr lang="fr-FR" sz="900" b="1" baseline="0">
              <a:solidFill>
                <a:schemeClr val="bg1">
                  <a:lumMod val="50000"/>
                </a:schemeClr>
              </a:solidFill>
              <a:latin typeface="Calibri" panose="020F0502020204030204" pitchFamily="34" charset="0"/>
            </a:rPr>
            <a:t> </a:t>
          </a:r>
          <a:r>
            <a:rPr lang="fr-FR" sz="900" b="1">
              <a:solidFill>
                <a:schemeClr val="bg1">
                  <a:lumMod val="50000"/>
                </a:schemeClr>
              </a:solidFill>
              <a:latin typeface="Calibri" panose="020F0502020204030204" pitchFamily="34" charset="0"/>
            </a:rPr>
            <a:t>de formation</a:t>
          </a:r>
        </a:p>
        <a:p>
          <a:pPr algn="r"/>
          <a:r>
            <a:rPr lang="fr-FR" sz="1800">
              <a:solidFill>
                <a:srgbClr val="00B050"/>
              </a:solidFill>
              <a:latin typeface="Calibri" panose="020F0502020204030204" pitchFamily="34" charset="0"/>
              <a:ea typeface="+mn-ea"/>
              <a:cs typeface="+mn-cs"/>
            </a:rPr>
            <a:t>5</a:t>
          </a:r>
          <a:r>
            <a:rPr lang="fr-FR" sz="1050" baseline="0">
              <a:solidFill>
                <a:srgbClr val="FF0000"/>
              </a:solidFill>
              <a:latin typeface="Calibri" panose="020F0502020204030204" pitchFamily="34" charset="0"/>
            </a:rPr>
            <a:t> </a:t>
          </a:r>
          <a:r>
            <a:rPr lang="fr-FR" sz="1050" baseline="0">
              <a:solidFill>
                <a:schemeClr val="bg1">
                  <a:lumMod val="50000"/>
                </a:schemeClr>
              </a:solidFill>
              <a:latin typeface="Calibri" panose="020F0502020204030204" pitchFamily="34" charset="0"/>
            </a:rPr>
            <a:t>heures</a:t>
          </a:r>
          <a:r>
            <a:rPr lang="fr-FR" sz="1050" baseline="0">
              <a:solidFill>
                <a:srgbClr val="FF0000"/>
              </a:solidFill>
              <a:latin typeface="Calibri" panose="020F0502020204030204" pitchFamily="34" charset="0"/>
            </a:rPr>
            <a:t> </a:t>
          </a:r>
          <a:r>
            <a:rPr lang="fr-FR" sz="1050" baseline="0">
              <a:solidFill>
                <a:schemeClr val="bg1">
                  <a:lumMod val="50000"/>
                </a:schemeClr>
              </a:solidFill>
              <a:latin typeface="Calibri" panose="020F0502020204030204" pitchFamily="34" charset="0"/>
            </a:rPr>
            <a:t>pour les personnels Enseignants</a:t>
          </a:r>
        </a:p>
        <a:p>
          <a:pPr algn="r"/>
          <a:r>
            <a:rPr lang="fr-FR" sz="1800" baseline="0">
              <a:solidFill>
                <a:srgbClr val="00B050"/>
              </a:solidFill>
              <a:latin typeface="Calibri" panose="020F0502020204030204" pitchFamily="34" charset="0"/>
              <a:ea typeface="+mn-ea"/>
              <a:cs typeface="+mn-cs"/>
            </a:rPr>
            <a:t>6</a:t>
          </a:r>
          <a:r>
            <a:rPr lang="fr-FR" sz="1050" baseline="0">
              <a:solidFill>
                <a:schemeClr val="bg1">
                  <a:lumMod val="50000"/>
                </a:schemeClr>
              </a:solidFill>
              <a:latin typeface="Calibri" panose="020F0502020204030204" pitchFamily="34" charset="0"/>
            </a:rPr>
            <a:t> heures pour les personnels BIATSS</a:t>
          </a:r>
        </a:p>
        <a:p>
          <a:pPr algn="r"/>
          <a:r>
            <a:rPr lang="fr-FR" sz="800" baseline="0">
              <a:solidFill>
                <a:schemeClr val="bg1">
                  <a:lumMod val="50000"/>
                </a:schemeClr>
              </a:solidFill>
              <a:latin typeface="Calibri" panose="020F0502020204030204" pitchFamily="34" charset="0"/>
            </a:rPr>
            <a:t>.</a:t>
          </a:r>
          <a:endParaRPr lang="fr-FR" sz="800">
            <a:solidFill>
              <a:schemeClr val="bg1">
                <a:lumMod val="50000"/>
              </a:schemeClr>
            </a:solidFill>
            <a:latin typeface="Calibri" panose="020F0502020204030204" pitchFamily="34" charset="0"/>
          </a:endParaRPr>
        </a:p>
      </xdr:txBody>
    </xdr:sp>
    <xdr:clientData/>
  </xdr:twoCellAnchor>
  <xdr:twoCellAnchor>
    <xdr:from>
      <xdr:col>0</xdr:col>
      <xdr:colOff>140971</xdr:colOff>
      <xdr:row>20</xdr:row>
      <xdr:rowOff>19049</xdr:rowOff>
    </xdr:from>
    <xdr:to>
      <xdr:col>20</xdr:col>
      <xdr:colOff>476250</xdr:colOff>
      <xdr:row>24</xdr:row>
      <xdr:rowOff>9525</xdr:rowOff>
    </xdr:to>
    <xdr:sp macro="" textlink="">
      <xdr:nvSpPr>
        <xdr:cNvPr id="5" name="ZoneTexte 4">
          <a:extLst>
            <a:ext uri="{FF2B5EF4-FFF2-40B4-BE49-F238E27FC236}">
              <a16:creationId xmlns:a16="http://schemas.microsoft.com/office/drawing/2014/main" id="{00000000-0008-0000-1900-000005000000}"/>
            </a:ext>
          </a:extLst>
        </xdr:cNvPr>
        <xdr:cNvSpPr txBox="1"/>
      </xdr:nvSpPr>
      <xdr:spPr>
        <a:xfrm>
          <a:off x="140971" y="3886199"/>
          <a:ext cx="9926954" cy="523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800">
            <a:solidFill>
              <a:srgbClr val="FFC000"/>
            </a:solidFill>
            <a:latin typeface="Calibri" panose="020F0502020204030204" pitchFamily="34" charset="0"/>
          </a:endParaRPr>
        </a:p>
      </xdr:txBody>
    </xdr:sp>
    <xdr:clientData/>
  </xdr:twoCellAnchor>
  <xdr:twoCellAnchor>
    <xdr:from>
      <xdr:col>0</xdr:col>
      <xdr:colOff>150091</xdr:colOff>
      <xdr:row>28</xdr:row>
      <xdr:rowOff>25054</xdr:rowOff>
    </xdr:from>
    <xdr:to>
      <xdr:col>6</xdr:col>
      <xdr:colOff>339090</xdr:colOff>
      <xdr:row>37</xdr:row>
      <xdr:rowOff>102870</xdr:rowOff>
    </xdr:to>
    <xdr:sp macro="" textlink="">
      <xdr:nvSpPr>
        <xdr:cNvPr id="6" name="ZoneTexte 5">
          <a:extLst>
            <a:ext uri="{FF2B5EF4-FFF2-40B4-BE49-F238E27FC236}">
              <a16:creationId xmlns:a16="http://schemas.microsoft.com/office/drawing/2014/main" id="{00000000-0008-0000-1900-000006000000}"/>
            </a:ext>
          </a:extLst>
        </xdr:cNvPr>
        <xdr:cNvSpPr txBox="1"/>
      </xdr:nvSpPr>
      <xdr:spPr>
        <a:xfrm>
          <a:off x="150091" y="5016154"/>
          <a:ext cx="3694199" cy="1373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000" b="1">
              <a:solidFill>
                <a:schemeClr val="bg1">
                  <a:lumMod val="50000"/>
                </a:schemeClr>
              </a:solidFill>
              <a:latin typeface="Calibri" panose="020F0502020204030204" pitchFamily="34" charset="0"/>
              <a:ea typeface="+mn-ea"/>
              <a:cs typeface="+mn-cs"/>
            </a:rPr>
            <a:t>Agents ayant suivi une formation par type de population</a:t>
          </a:r>
        </a:p>
        <a:p>
          <a:pPr algn="r"/>
          <a:r>
            <a:rPr lang="fr-FR" sz="1600">
              <a:solidFill>
                <a:srgbClr val="00B050"/>
              </a:solidFill>
              <a:latin typeface="Calibri" panose="020F0502020204030204" pitchFamily="34" charset="0"/>
            </a:rPr>
            <a:t>13</a:t>
          </a:r>
          <a:r>
            <a:rPr lang="fr-FR" sz="1600">
              <a:solidFill>
                <a:srgbClr val="FF0000"/>
              </a:solidFill>
              <a:latin typeface="Calibri" panose="020F0502020204030204" pitchFamily="34" charset="0"/>
            </a:rPr>
            <a:t> </a:t>
          </a:r>
          <a:r>
            <a:rPr lang="fr-FR" sz="1600">
              <a:solidFill>
                <a:schemeClr val="bg1">
                  <a:lumMod val="50000"/>
                </a:schemeClr>
              </a:solidFill>
              <a:latin typeface="Calibri" panose="020F0502020204030204" pitchFamily="34" charset="0"/>
            </a:rPr>
            <a:t>% </a:t>
          </a:r>
          <a:r>
            <a:rPr lang="fr-FR" sz="1000">
              <a:solidFill>
                <a:schemeClr val="bg1">
                  <a:lumMod val="50000"/>
                </a:schemeClr>
              </a:solidFill>
              <a:latin typeface="Calibri" panose="020F0502020204030204" pitchFamily="34" charset="0"/>
              <a:ea typeface="+mn-ea"/>
              <a:cs typeface="+mn-cs"/>
            </a:rPr>
            <a:t>de la population enseignante a suivi une formation</a:t>
          </a:r>
        </a:p>
        <a:p>
          <a:pPr algn="r"/>
          <a:r>
            <a:rPr lang="fr-FR" sz="1600">
              <a:solidFill>
                <a:srgbClr val="00B050"/>
              </a:solidFill>
              <a:latin typeface="Calibri" panose="020F0502020204030204" pitchFamily="34" charset="0"/>
              <a:ea typeface="+mn-ea"/>
              <a:cs typeface="+mn-cs"/>
            </a:rPr>
            <a:t>66</a:t>
          </a:r>
          <a:r>
            <a:rPr lang="fr-FR" sz="1600">
              <a:solidFill>
                <a:srgbClr val="FF0000"/>
              </a:solidFill>
              <a:latin typeface="Calibri" panose="020F0502020204030204" pitchFamily="34" charset="0"/>
              <a:ea typeface="+mn-ea"/>
              <a:cs typeface="+mn-cs"/>
            </a:rPr>
            <a:t> </a:t>
          </a:r>
          <a:r>
            <a:rPr lang="fr-FR" sz="1600">
              <a:solidFill>
                <a:schemeClr val="bg1">
                  <a:lumMod val="50000"/>
                </a:schemeClr>
              </a:solidFill>
              <a:latin typeface="Calibri" panose="020F0502020204030204" pitchFamily="34" charset="0"/>
              <a:ea typeface="+mn-ea"/>
              <a:cs typeface="+mn-cs"/>
            </a:rPr>
            <a:t>%</a:t>
          </a:r>
          <a:r>
            <a:rPr lang="fr-FR" sz="1000">
              <a:solidFill>
                <a:schemeClr val="bg1">
                  <a:lumMod val="50000"/>
                </a:schemeClr>
              </a:solidFill>
              <a:latin typeface="Calibri" panose="020F0502020204030204" pitchFamily="34" charset="0"/>
              <a:ea typeface="+mn-ea"/>
              <a:cs typeface="+mn-cs"/>
            </a:rPr>
            <a:t> des personnels BIATSS de catégorie A</a:t>
          </a:r>
        </a:p>
        <a:p>
          <a:pPr algn="r"/>
          <a:r>
            <a:rPr lang="fr-FR" sz="1600">
              <a:solidFill>
                <a:srgbClr val="00B050"/>
              </a:solidFill>
              <a:latin typeface="Calibri" panose="020F0502020204030204" pitchFamily="34" charset="0"/>
              <a:ea typeface="+mn-ea"/>
              <a:cs typeface="+mn-cs"/>
            </a:rPr>
            <a:t>66</a:t>
          </a:r>
          <a:r>
            <a:rPr lang="fr-FR" sz="1600">
              <a:solidFill>
                <a:srgbClr val="FF0000"/>
              </a:solidFill>
              <a:latin typeface="Calibri" panose="020F0502020204030204" pitchFamily="34" charset="0"/>
              <a:ea typeface="+mn-ea"/>
              <a:cs typeface="+mn-cs"/>
            </a:rPr>
            <a:t> </a:t>
          </a:r>
          <a:r>
            <a:rPr lang="fr-FR" sz="1600">
              <a:solidFill>
                <a:schemeClr val="bg1">
                  <a:lumMod val="50000"/>
                </a:schemeClr>
              </a:solidFill>
              <a:latin typeface="Calibri" panose="020F0502020204030204" pitchFamily="34" charset="0"/>
              <a:ea typeface="+mn-ea"/>
              <a:cs typeface="+mn-cs"/>
            </a:rPr>
            <a:t>%</a:t>
          </a:r>
          <a:r>
            <a:rPr lang="fr-FR" sz="1000">
              <a:solidFill>
                <a:schemeClr val="bg1">
                  <a:lumMod val="50000"/>
                </a:schemeClr>
              </a:solidFill>
              <a:latin typeface="Calibri" panose="020F0502020204030204" pitchFamily="34" charset="0"/>
              <a:ea typeface="+mn-ea"/>
              <a:cs typeface="+mn-cs"/>
            </a:rPr>
            <a:t>  de catégorie B</a:t>
          </a:r>
        </a:p>
        <a:p>
          <a:pPr algn="r"/>
          <a:r>
            <a:rPr lang="fr-FR" sz="1600">
              <a:solidFill>
                <a:srgbClr val="00B050"/>
              </a:solidFill>
              <a:latin typeface="Calibri" panose="020F0502020204030204" pitchFamily="34" charset="0"/>
              <a:ea typeface="+mn-ea"/>
              <a:cs typeface="+mn-cs"/>
            </a:rPr>
            <a:t>80</a:t>
          </a:r>
          <a:r>
            <a:rPr lang="fr-FR" sz="1600">
              <a:solidFill>
                <a:srgbClr val="FF0000"/>
              </a:solidFill>
              <a:latin typeface="Calibri" panose="020F0502020204030204" pitchFamily="34" charset="0"/>
              <a:ea typeface="+mn-ea"/>
              <a:cs typeface="+mn-cs"/>
            </a:rPr>
            <a:t> </a:t>
          </a:r>
          <a:r>
            <a:rPr lang="fr-FR" sz="1600">
              <a:solidFill>
                <a:schemeClr val="bg1">
                  <a:lumMod val="50000"/>
                </a:schemeClr>
              </a:solidFill>
              <a:latin typeface="Calibri" panose="020F0502020204030204" pitchFamily="34" charset="0"/>
              <a:ea typeface="+mn-ea"/>
              <a:cs typeface="+mn-cs"/>
            </a:rPr>
            <a:t>% </a:t>
          </a:r>
          <a:r>
            <a:rPr lang="fr-FR" sz="1000">
              <a:solidFill>
                <a:schemeClr val="bg1">
                  <a:lumMod val="50000"/>
                </a:schemeClr>
              </a:solidFill>
              <a:latin typeface="Calibri" panose="020F0502020204030204" pitchFamily="34" charset="0"/>
              <a:ea typeface="+mn-ea"/>
              <a:cs typeface="+mn-cs"/>
            </a:rPr>
            <a:t>de</a:t>
          </a:r>
          <a:r>
            <a:rPr lang="fr-FR" sz="1000" baseline="0">
              <a:solidFill>
                <a:schemeClr val="bg1">
                  <a:lumMod val="50000"/>
                </a:schemeClr>
              </a:solidFill>
              <a:latin typeface="Calibri" panose="020F0502020204030204" pitchFamily="34" charset="0"/>
              <a:ea typeface="+mn-ea"/>
              <a:cs typeface="+mn-cs"/>
            </a:rPr>
            <a:t> catégorie C</a:t>
          </a:r>
          <a:endParaRPr lang="fr-FR" sz="1200">
            <a:solidFill>
              <a:schemeClr val="bg1">
                <a:lumMod val="50000"/>
              </a:schemeClr>
            </a:solidFill>
            <a:latin typeface="Calibri" panose="020F0502020204030204" pitchFamily="34" charset="0"/>
          </a:endParaRPr>
        </a:p>
        <a:p>
          <a:pPr algn="r"/>
          <a:endParaRPr lang="fr-FR" sz="800">
            <a:solidFill>
              <a:schemeClr val="bg1">
                <a:lumMod val="50000"/>
              </a:schemeClr>
            </a:solidFill>
            <a:latin typeface="Calibri" panose="020F0502020204030204" pitchFamily="34" charset="0"/>
            <a:ea typeface="+mn-ea"/>
            <a:cs typeface="+mn-cs"/>
          </a:endParaRPr>
        </a:p>
      </xdr:txBody>
    </xdr:sp>
    <xdr:clientData/>
  </xdr:twoCellAnchor>
  <xdr:twoCellAnchor>
    <xdr:from>
      <xdr:col>7</xdr:col>
      <xdr:colOff>374420</xdr:colOff>
      <xdr:row>28</xdr:row>
      <xdr:rowOff>97097</xdr:rowOff>
    </xdr:from>
    <xdr:to>
      <xdr:col>12</xdr:col>
      <xdr:colOff>123825</xdr:colOff>
      <xdr:row>33</xdr:row>
      <xdr:rowOff>3117</xdr:rowOff>
    </xdr:to>
    <xdr:sp macro="" textlink="">
      <xdr:nvSpPr>
        <xdr:cNvPr id="3" name="ZoneTexte 2">
          <a:extLst>
            <a:ext uri="{FF2B5EF4-FFF2-40B4-BE49-F238E27FC236}">
              <a16:creationId xmlns:a16="http://schemas.microsoft.com/office/drawing/2014/main" id="{00000000-0008-0000-1900-000003000000}"/>
            </a:ext>
          </a:extLst>
        </xdr:cNvPr>
        <xdr:cNvSpPr txBox="1"/>
      </xdr:nvSpPr>
      <xdr:spPr>
        <a:xfrm>
          <a:off x="4346345" y="5088197"/>
          <a:ext cx="181633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fr-FR" sz="2000">
              <a:solidFill>
                <a:srgbClr val="00B050"/>
              </a:solidFill>
              <a:latin typeface="Calibri" panose="020F0502020204030204" pitchFamily="34" charset="0"/>
              <a:ea typeface="+mn-ea"/>
              <a:cs typeface="+mn-cs"/>
            </a:rPr>
            <a:t>71</a:t>
          </a:r>
          <a:r>
            <a:rPr lang="fr-FR" sz="2000">
              <a:solidFill>
                <a:schemeClr val="bg1">
                  <a:lumMod val="50000"/>
                </a:schemeClr>
              </a:solidFill>
              <a:latin typeface="Calibri" panose="020F0502020204030204" pitchFamily="34" charset="0"/>
              <a:ea typeface="+mn-ea"/>
              <a:cs typeface="+mn-cs"/>
            </a:rPr>
            <a:t>% </a:t>
          </a:r>
          <a:r>
            <a:rPr lang="fr-FR" sz="1100" baseline="0">
              <a:solidFill>
                <a:schemeClr val="bg1">
                  <a:lumMod val="50000"/>
                </a:schemeClr>
              </a:solidFill>
              <a:latin typeface="Calibri" panose="020F0502020204030204" pitchFamily="34" charset="0"/>
              <a:ea typeface="+mn-ea"/>
              <a:cs typeface="+mn-cs"/>
            </a:rPr>
            <a:t>des</a:t>
          </a:r>
          <a:r>
            <a:rPr lang="fr-FR" sz="2000">
              <a:solidFill>
                <a:schemeClr val="bg1">
                  <a:lumMod val="50000"/>
                </a:schemeClr>
              </a:solidFill>
              <a:latin typeface="Calibri" panose="020F0502020204030204" pitchFamily="34" charset="0"/>
              <a:ea typeface="+mn-ea"/>
              <a:cs typeface="+mn-cs"/>
            </a:rPr>
            <a:t> </a:t>
          </a:r>
          <a:r>
            <a:rPr lang="fr-FR" sz="1100" baseline="0">
              <a:solidFill>
                <a:schemeClr val="bg1">
                  <a:lumMod val="50000"/>
                </a:schemeClr>
              </a:solidFill>
              <a:latin typeface="Calibri" panose="020F0502020204030204" pitchFamily="34" charset="0"/>
              <a:ea typeface="+mn-ea"/>
              <a:cs typeface="+mn-cs"/>
            </a:rPr>
            <a:t>stagiaires sont des femmes</a:t>
          </a:r>
        </a:p>
        <a:p>
          <a:endParaRPr lang="fr-FR"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1269</xdr:colOff>
      <xdr:row>37</xdr:row>
      <xdr:rowOff>7738</xdr:rowOff>
    </xdr:from>
    <xdr:to>
      <xdr:col>20</xdr:col>
      <xdr:colOff>230505</xdr:colOff>
      <xdr:row>41</xdr:row>
      <xdr:rowOff>104775</xdr:rowOff>
    </xdr:to>
    <xdr:sp macro="" textlink="">
      <xdr:nvSpPr>
        <xdr:cNvPr id="2" name="Text Box 2">
          <a:extLst>
            <a:ext uri="{FF2B5EF4-FFF2-40B4-BE49-F238E27FC236}">
              <a16:creationId xmlns:a16="http://schemas.microsoft.com/office/drawing/2014/main" id="{00000000-0008-0000-1A00-000002000000}"/>
            </a:ext>
          </a:extLst>
        </xdr:cNvPr>
        <xdr:cNvSpPr txBox="1">
          <a:spLocks noChangeArrowheads="1"/>
        </xdr:cNvSpPr>
      </xdr:nvSpPr>
      <xdr:spPr bwMode="auto">
        <a:xfrm>
          <a:off x="582294" y="6894313"/>
          <a:ext cx="8820786" cy="630437"/>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ts val="900"/>
            </a:lnSpc>
            <a:defRPr sz="1000"/>
          </a:pPr>
          <a:r>
            <a:rPr lang="fr-FR" sz="800" b="0">
              <a:solidFill>
                <a:schemeClr val="bg1">
                  <a:lumMod val="50000"/>
                </a:schemeClr>
              </a:solidFill>
              <a:latin typeface="Calibri" pitchFamily="34" charset="0"/>
              <a:ea typeface="+mn-ea"/>
              <a:cs typeface="+mn-cs"/>
            </a:rPr>
            <a:t>A l'UJM, l'entretien concerne tous les personnels BIATSS, y compris les contractuels. L'établissement organise chaque année une formation pour les nouveaux cadres chargés de la conduite de</a:t>
          </a:r>
          <a:r>
            <a:rPr lang="fr-FR" sz="800" b="0" baseline="0">
              <a:solidFill>
                <a:schemeClr val="bg1">
                  <a:lumMod val="50000"/>
                </a:schemeClr>
              </a:solidFill>
              <a:latin typeface="Calibri" pitchFamily="34" charset="0"/>
              <a:ea typeface="+mn-ea"/>
              <a:cs typeface="+mn-cs"/>
            </a:rPr>
            <a:t> cet entretien.</a:t>
          </a:r>
          <a:r>
            <a:rPr lang="fr-FR" sz="800" b="0">
              <a:solidFill>
                <a:schemeClr val="bg1">
                  <a:lumMod val="50000"/>
                </a:schemeClr>
              </a:solidFill>
              <a:latin typeface="Calibri" pitchFamily="34" charset="0"/>
              <a:ea typeface="+mn-ea"/>
              <a:cs typeface="+mn-cs"/>
            </a:rPr>
            <a:t> </a:t>
          </a:r>
        </a:p>
        <a:p>
          <a:pPr algn="l" rtl="0">
            <a:lnSpc>
              <a:spcPts val="900"/>
            </a:lnSpc>
            <a:defRPr sz="1000"/>
          </a:pPr>
          <a:r>
            <a:rPr lang="fr-FR" sz="800" b="0">
              <a:solidFill>
                <a:schemeClr val="bg1">
                  <a:lumMod val="50000"/>
                </a:schemeClr>
              </a:solidFill>
              <a:latin typeface="Calibri" pitchFamily="34" charset="0"/>
              <a:ea typeface="+mn-ea"/>
              <a:cs typeface="+mn-cs"/>
            </a:rPr>
            <a:t>L'entretien est un moment d'échange entre l'agent et son chef de service, il permet de construire une réflexion sur les objectifs à tenir, les besoins de formation,... </a:t>
          </a:r>
        </a:p>
        <a:p>
          <a:pPr algn="l" rtl="0">
            <a:lnSpc>
              <a:spcPts val="900"/>
            </a:lnSpc>
            <a:defRPr sz="1000"/>
          </a:pPr>
          <a:endParaRPr lang="fr-FR" sz="800" b="0">
            <a:solidFill>
              <a:schemeClr val="bg1">
                <a:lumMod val="50000"/>
              </a:schemeClr>
            </a:solidFill>
            <a:latin typeface="Calibri" pitchFamily="34" charset="0"/>
            <a:ea typeface="+mn-ea"/>
            <a:cs typeface="+mn-cs"/>
          </a:endParaRPr>
        </a:p>
        <a:p>
          <a:pPr algn="l" rtl="0">
            <a:lnSpc>
              <a:spcPts val="900"/>
            </a:lnSpc>
            <a:defRPr sz="1000"/>
          </a:pPr>
          <a:r>
            <a:rPr lang="fr-FR" sz="800" b="0">
              <a:solidFill>
                <a:srgbClr val="FF0000"/>
              </a:solidFill>
              <a:latin typeface="Calibri" pitchFamily="34" charset="0"/>
              <a:ea typeface="+mn-ea"/>
              <a:cs typeface="+mn-cs"/>
            </a:rPr>
            <a:t>Le</a:t>
          </a:r>
          <a:r>
            <a:rPr lang="fr-FR" sz="800" b="0" baseline="0">
              <a:solidFill>
                <a:srgbClr val="FF0000"/>
              </a:solidFill>
              <a:latin typeface="Calibri" pitchFamily="34" charset="0"/>
              <a:ea typeface="+mn-ea"/>
              <a:cs typeface="+mn-cs"/>
            </a:rPr>
            <a:t> contexte sanitaire particulier ainsi que la campagne tardive (qui s'est prolongé sur 2021) explique la chute du taux de réalisation sur l'année 2020.</a:t>
          </a:r>
          <a:endParaRPr lang="fr-FR" sz="800" b="0">
            <a:solidFill>
              <a:srgbClr val="FF0000"/>
            </a:solidFill>
            <a:latin typeface="Calibri" pitchFamily="34" charset="0"/>
            <a:ea typeface="+mn-ea"/>
            <a:cs typeface="+mn-cs"/>
          </a:endParaRPr>
        </a:p>
      </xdr:txBody>
    </xdr:sp>
    <xdr:clientData/>
  </xdr:twoCellAnchor>
  <xdr:twoCellAnchor>
    <xdr:from>
      <xdr:col>10</xdr:col>
      <xdr:colOff>177165</xdr:colOff>
      <xdr:row>18</xdr:row>
      <xdr:rowOff>55245</xdr:rowOff>
    </xdr:from>
    <xdr:to>
      <xdr:col>19</xdr:col>
      <xdr:colOff>9525</xdr:colOff>
      <xdr:row>23</xdr:row>
      <xdr:rowOff>68580</xdr:rowOff>
    </xdr:to>
    <xdr:sp macro="" textlink="">
      <xdr:nvSpPr>
        <xdr:cNvPr id="7" name="ZoneTexte 6">
          <a:extLst>
            <a:ext uri="{FF2B5EF4-FFF2-40B4-BE49-F238E27FC236}">
              <a16:creationId xmlns:a16="http://schemas.microsoft.com/office/drawing/2014/main" id="{00000000-0008-0000-1A00-000007000000}"/>
            </a:ext>
          </a:extLst>
        </xdr:cNvPr>
        <xdr:cNvSpPr txBox="1"/>
      </xdr:nvSpPr>
      <xdr:spPr>
        <a:xfrm>
          <a:off x="4996815" y="4027170"/>
          <a:ext cx="4061460" cy="861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200">
              <a:solidFill>
                <a:schemeClr val="bg1">
                  <a:lumMod val="50000"/>
                </a:schemeClr>
              </a:solidFill>
              <a:latin typeface="Calibri" panose="020F0502020204030204" pitchFamily="34" charset="0"/>
            </a:rPr>
            <a:t>Les dépenses de formation des personnels  BIATSS représentent </a:t>
          </a:r>
        </a:p>
        <a:p>
          <a:pPr algn="r"/>
          <a:r>
            <a:rPr lang="fr-FR" sz="1600">
              <a:solidFill>
                <a:srgbClr val="00B050"/>
              </a:solidFill>
              <a:latin typeface="Calibri" panose="020F0502020204030204" pitchFamily="34" charset="0"/>
            </a:rPr>
            <a:t>1</a:t>
          </a:r>
          <a:r>
            <a:rPr lang="fr-FR" sz="1600">
              <a:solidFill>
                <a:schemeClr val="bg1">
                  <a:lumMod val="50000"/>
                </a:schemeClr>
              </a:solidFill>
              <a:latin typeface="Calibri" panose="020F0502020204030204" pitchFamily="34" charset="0"/>
            </a:rPr>
            <a:t>%</a:t>
          </a:r>
          <a:r>
            <a:rPr lang="fr-FR" sz="1200">
              <a:solidFill>
                <a:schemeClr val="bg1">
                  <a:lumMod val="50000"/>
                </a:schemeClr>
              </a:solidFill>
              <a:latin typeface="Calibri" panose="020F0502020204030204" pitchFamily="34" charset="0"/>
            </a:rPr>
            <a:t> de la masse salariale d</a:t>
          </a:r>
          <a:r>
            <a:rPr lang="fr-FR" sz="1200" baseline="0">
              <a:solidFill>
                <a:schemeClr val="bg1">
                  <a:lumMod val="50000"/>
                </a:schemeClr>
              </a:solidFill>
              <a:latin typeface="Calibri" panose="020F0502020204030204" pitchFamily="34" charset="0"/>
            </a:rPr>
            <a:t>es personnels Biatss</a:t>
          </a:r>
          <a:endParaRPr lang="fr-FR" sz="1200">
            <a:solidFill>
              <a:schemeClr val="bg1">
                <a:lumMod val="50000"/>
              </a:schemeClr>
            </a:solidFill>
            <a:latin typeface="Calibri" panose="020F050202020403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329969</xdr:colOff>
      <xdr:row>4</xdr:row>
      <xdr:rowOff>127174</xdr:rowOff>
    </xdr:from>
    <xdr:to>
      <xdr:col>14</xdr:col>
      <xdr:colOff>333802</xdr:colOff>
      <xdr:row>17</xdr:row>
      <xdr:rowOff>19050</xdr:rowOff>
    </xdr:to>
    <xdr:sp macro="" textlink="">
      <xdr:nvSpPr>
        <xdr:cNvPr id="2" name="ZoneTexte 1">
          <a:extLst>
            <a:ext uri="{FF2B5EF4-FFF2-40B4-BE49-F238E27FC236}">
              <a16:creationId xmlns:a16="http://schemas.microsoft.com/office/drawing/2014/main" id="{00000000-0008-0000-1B00-000002000000}"/>
            </a:ext>
          </a:extLst>
        </xdr:cNvPr>
        <xdr:cNvSpPr txBox="1"/>
      </xdr:nvSpPr>
      <xdr:spPr>
        <a:xfrm>
          <a:off x="7311794" y="774874"/>
          <a:ext cx="2061233" cy="1854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200" b="0">
              <a:solidFill>
                <a:schemeClr val="bg1">
                  <a:lumMod val="50000"/>
                </a:schemeClr>
              </a:solidFill>
              <a:latin typeface="Calibri" pitchFamily="34" charset="0"/>
              <a:ea typeface="+mn-ea"/>
              <a:cs typeface="+mn-cs"/>
            </a:rPr>
            <a:t>En 2022, </a:t>
          </a:r>
          <a:r>
            <a:rPr lang="fr-FR" sz="1800" b="0">
              <a:solidFill>
                <a:srgbClr val="00B050"/>
              </a:solidFill>
              <a:latin typeface="Calibri" pitchFamily="34" charset="0"/>
              <a:ea typeface="+mn-ea"/>
              <a:cs typeface="+mn-cs"/>
            </a:rPr>
            <a:t>13</a:t>
          </a:r>
          <a:r>
            <a:rPr lang="fr-FR" sz="1800" b="0">
              <a:solidFill>
                <a:schemeClr val="bg1">
                  <a:lumMod val="50000"/>
                </a:schemeClr>
              </a:solidFill>
              <a:latin typeface="Calibri" pitchFamily="34" charset="0"/>
              <a:ea typeface="+mn-ea"/>
              <a:cs typeface="+mn-cs"/>
            </a:rPr>
            <a:t>%</a:t>
          </a:r>
          <a:r>
            <a:rPr lang="fr-FR" sz="1200" b="0">
              <a:solidFill>
                <a:schemeClr val="bg1">
                  <a:lumMod val="50000"/>
                </a:schemeClr>
              </a:solidFill>
              <a:latin typeface="Calibri" pitchFamily="34" charset="0"/>
              <a:ea typeface="+mn-ea"/>
              <a:cs typeface="+mn-cs"/>
            </a:rPr>
            <a:t> </a:t>
          </a:r>
          <a:r>
            <a:rPr lang="fr-FR" sz="1100">
              <a:solidFill>
                <a:schemeClr val="bg1">
                  <a:lumMod val="50000"/>
                </a:schemeClr>
              </a:solidFill>
            </a:rPr>
            <a:t> </a:t>
          </a:r>
        </a:p>
        <a:p>
          <a:pPr algn="r">
            <a:lnSpc>
              <a:spcPts val="1400"/>
            </a:lnSpc>
          </a:pPr>
          <a:r>
            <a:rPr lang="fr-FR" sz="1200" b="0">
              <a:solidFill>
                <a:schemeClr val="bg1">
                  <a:lumMod val="50000"/>
                </a:schemeClr>
              </a:solidFill>
              <a:latin typeface="Calibri" pitchFamily="34" charset="0"/>
              <a:ea typeface="+mn-ea"/>
              <a:cs typeface="+mn-cs"/>
            </a:rPr>
            <a:t>de la population BIATSS travaille à temps partiel, contre</a:t>
          </a:r>
        </a:p>
        <a:p>
          <a:pPr algn="r">
            <a:lnSpc>
              <a:spcPts val="1400"/>
            </a:lnSpc>
          </a:pPr>
          <a:endParaRPr lang="fr-FR" sz="1200" b="0">
            <a:solidFill>
              <a:schemeClr val="bg1">
                <a:lumMod val="50000"/>
              </a:schemeClr>
            </a:solidFill>
            <a:latin typeface="Calibri" pitchFamily="34" charset="0"/>
            <a:ea typeface="+mn-ea"/>
            <a:cs typeface="+mn-cs"/>
          </a:endParaRPr>
        </a:p>
        <a:p>
          <a:pPr marL="0" marR="0" lvl="0" indent="0" algn="r" defTabSz="914400" eaLnBrk="1" fontAlgn="auto" latinLnBrk="0" hangingPunct="1">
            <a:lnSpc>
              <a:spcPts val="1400"/>
            </a:lnSpc>
            <a:spcBef>
              <a:spcPts val="0"/>
            </a:spcBef>
            <a:spcAft>
              <a:spcPts val="0"/>
            </a:spcAft>
            <a:buClrTx/>
            <a:buSzTx/>
            <a:buFontTx/>
            <a:buNone/>
            <a:tabLst/>
            <a:defRPr/>
          </a:pPr>
          <a:r>
            <a:rPr kumimoji="0" lang="fr-FR" sz="1800" b="0" i="0" u="none" strike="noStrike" kern="0" cap="none" spc="0" normalizeH="0" baseline="0" noProof="0">
              <a:ln>
                <a:noFill/>
              </a:ln>
              <a:solidFill>
                <a:prstClr val="white">
                  <a:lumMod val="50000"/>
                </a:prstClr>
              </a:solidFill>
              <a:effectLst/>
              <a:uLnTx/>
              <a:uFillTx/>
              <a:latin typeface="Calibri" pitchFamily="34" charset="0"/>
              <a:ea typeface="+mn-ea"/>
              <a:cs typeface="+mn-cs"/>
            </a:rPr>
            <a:t>16%</a:t>
          </a:r>
          <a:r>
            <a:rPr kumimoji="0" lang="fr-FR" sz="1200" b="0" i="0" u="none" strike="noStrike" kern="0" cap="none" spc="0" normalizeH="0" baseline="0" noProof="0">
              <a:ln>
                <a:noFill/>
              </a:ln>
              <a:solidFill>
                <a:prstClr val="white">
                  <a:lumMod val="50000"/>
                </a:prstClr>
              </a:solidFill>
              <a:effectLst/>
              <a:uLnTx/>
              <a:uFillTx/>
              <a:latin typeface="Calibri" pitchFamily="34" charset="0"/>
              <a:ea typeface="+mn-ea"/>
              <a:cs typeface="+mn-cs"/>
            </a:rPr>
            <a:t> en 2021</a:t>
          </a:r>
        </a:p>
        <a:p>
          <a:pPr marL="0" marR="0" lvl="0" indent="0" algn="r" defTabSz="914400" eaLnBrk="1" fontAlgn="auto" latinLnBrk="0" hangingPunct="1">
            <a:lnSpc>
              <a:spcPts val="1400"/>
            </a:lnSpc>
            <a:spcBef>
              <a:spcPts val="0"/>
            </a:spcBef>
            <a:spcAft>
              <a:spcPts val="0"/>
            </a:spcAft>
            <a:buClrTx/>
            <a:buSzTx/>
            <a:buFontTx/>
            <a:buNone/>
            <a:tabLst/>
            <a:defRPr/>
          </a:pPr>
          <a:endParaRPr kumimoji="0" lang="fr-FR" sz="1200" b="0" i="0" u="none" strike="noStrike" kern="0" cap="none" spc="0" normalizeH="0" baseline="0" noProof="0">
            <a:ln>
              <a:noFill/>
            </a:ln>
            <a:solidFill>
              <a:prstClr val="white">
                <a:lumMod val="50000"/>
              </a:prstClr>
            </a:solidFill>
            <a:effectLst/>
            <a:uLnTx/>
            <a:uFillTx/>
            <a:latin typeface="Calibri" pitchFamily="34" charset="0"/>
            <a:ea typeface="+mn-ea"/>
            <a:cs typeface="+mn-cs"/>
          </a:endParaRPr>
        </a:p>
        <a:p>
          <a:pPr algn="r">
            <a:lnSpc>
              <a:spcPts val="1400"/>
            </a:lnSpc>
          </a:pPr>
          <a:r>
            <a:rPr lang="fr-FR" sz="1800" b="0">
              <a:solidFill>
                <a:schemeClr val="bg1">
                  <a:lumMod val="50000"/>
                </a:schemeClr>
              </a:solidFill>
              <a:latin typeface="Calibri" pitchFamily="34" charset="0"/>
              <a:ea typeface="+mn-ea"/>
              <a:cs typeface="+mn-cs"/>
            </a:rPr>
            <a:t>20%</a:t>
          </a:r>
          <a:r>
            <a:rPr lang="fr-FR" sz="1200" b="0">
              <a:solidFill>
                <a:schemeClr val="bg1">
                  <a:lumMod val="50000"/>
                </a:schemeClr>
              </a:solidFill>
              <a:latin typeface="Calibri" pitchFamily="34" charset="0"/>
              <a:ea typeface="+mn-ea"/>
              <a:cs typeface="+mn-cs"/>
            </a:rPr>
            <a:t> en 2020</a:t>
          </a:r>
        </a:p>
      </xdr:txBody>
    </xdr:sp>
    <xdr:clientData/>
  </xdr:twoCellAnchor>
  <xdr:twoCellAnchor>
    <xdr:from>
      <xdr:col>0</xdr:col>
      <xdr:colOff>154306</xdr:colOff>
      <xdr:row>5</xdr:row>
      <xdr:rowOff>114301</xdr:rowOff>
    </xdr:from>
    <xdr:to>
      <xdr:col>10</xdr:col>
      <xdr:colOff>3841</xdr:colOff>
      <xdr:row>10</xdr:row>
      <xdr:rowOff>114300</xdr:rowOff>
    </xdr:to>
    <xdr:sp macro="" textlink="">
      <xdr:nvSpPr>
        <xdr:cNvPr id="3" name="ZoneTexte 2">
          <a:extLst>
            <a:ext uri="{FF2B5EF4-FFF2-40B4-BE49-F238E27FC236}">
              <a16:creationId xmlns:a16="http://schemas.microsoft.com/office/drawing/2014/main" id="{00000000-0008-0000-1B00-000003000000}"/>
            </a:ext>
          </a:extLst>
        </xdr:cNvPr>
        <xdr:cNvSpPr txBox="1"/>
      </xdr:nvSpPr>
      <xdr:spPr>
        <a:xfrm>
          <a:off x="154306" y="967741"/>
          <a:ext cx="7065675" cy="685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0">
              <a:solidFill>
                <a:schemeClr val="bg1">
                  <a:lumMod val="50000"/>
                </a:schemeClr>
              </a:solidFill>
              <a:latin typeface="Calibri" pitchFamily="34" charset="0"/>
              <a:ea typeface="+mn-ea"/>
              <a:cs typeface="+mn-cs"/>
            </a:rPr>
            <a:t>Tout personnel, titulaire</a:t>
          </a:r>
          <a:r>
            <a:rPr lang="fr-FR" sz="800" b="0" baseline="0">
              <a:solidFill>
                <a:schemeClr val="bg1">
                  <a:lumMod val="50000"/>
                </a:schemeClr>
              </a:solidFill>
              <a:latin typeface="Calibri" pitchFamily="34" charset="0"/>
              <a:ea typeface="+mn-ea"/>
              <a:cs typeface="+mn-cs"/>
            </a:rPr>
            <a:t> </a:t>
          </a:r>
          <a:r>
            <a:rPr lang="fr-FR" sz="800" b="0">
              <a:solidFill>
                <a:schemeClr val="bg1">
                  <a:lumMod val="50000"/>
                </a:schemeClr>
              </a:solidFill>
              <a:latin typeface="Calibri" pitchFamily="34" charset="0"/>
              <a:ea typeface="+mn-ea"/>
              <a:cs typeface="+mn-cs"/>
            </a:rPr>
            <a:t>ou contractuel, peut demander à bénéficier d'un temps partiel s'il est recruté sur une base de 100%. Un personnel contractuel recruté à une quotité inférieure à 100 % est à temps incomplet.</a:t>
          </a:r>
        </a:p>
        <a:p>
          <a:r>
            <a:rPr lang="fr-FR" sz="800" b="0">
              <a:solidFill>
                <a:schemeClr val="bg1">
                  <a:lumMod val="50000"/>
                </a:schemeClr>
              </a:solidFill>
              <a:latin typeface="Calibri" pitchFamily="34" charset="0"/>
              <a:ea typeface="+mn-ea"/>
              <a:cs typeface="+mn-cs"/>
            </a:rPr>
            <a:t>La quotité de rémunération d'un contractuel recruté à temps incompet 80% est de 80%. </a:t>
          </a:r>
        </a:p>
        <a:p>
          <a:r>
            <a:rPr lang="fr-FR" sz="800" b="0">
              <a:solidFill>
                <a:schemeClr val="bg1">
                  <a:lumMod val="50000"/>
                </a:schemeClr>
              </a:solidFill>
              <a:latin typeface="Calibri" pitchFamily="34" charset="0"/>
              <a:ea typeface="+mn-ea"/>
              <a:cs typeface="+mn-cs"/>
            </a:rPr>
            <a:t>La quotité de rémunération d'un personnel bénéficiant d'un temps partiel de 80% est de 85,7%. </a:t>
          </a:r>
        </a:p>
      </xdr:txBody>
    </xdr:sp>
    <xdr:clientData/>
  </xdr:twoCellAnchor>
  <xdr:twoCellAnchor>
    <xdr:from>
      <xdr:col>0</xdr:col>
      <xdr:colOff>133350</xdr:colOff>
      <xdr:row>14</xdr:row>
      <xdr:rowOff>104776</xdr:rowOff>
    </xdr:from>
    <xdr:to>
      <xdr:col>6</xdr:col>
      <xdr:colOff>497205</xdr:colOff>
      <xdr:row>32</xdr:row>
      <xdr:rowOff>135256</xdr:rowOff>
    </xdr:to>
    <xdr:graphicFrame macro="">
      <xdr:nvGraphicFramePr>
        <xdr:cNvPr id="1479224" name="Graphique 6">
          <a:extLst>
            <a:ext uri="{FF2B5EF4-FFF2-40B4-BE49-F238E27FC236}">
              <a16:creationId xmlns:a16="http://schemas.microsoft.com/office/drawing/2014/main" id="{00000000-0008-0000-1B00-00003892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219075</xdr:colOff>
      <xdr:row>20</xdr:row>
      <xdr:rowOff>24766</xdr:rowOff>
    </xdr:from>
    <xdr:to>
      <xdr:col>14</xdr:col>
      <xdr:colOff>330836</xdr:colOff>
      <xdr:row>25</xdr:row>
      <xdr:rowOff>76201</xdr:rowOff>
    </xdr:to>
    <xdr:sp macro="" textlink="">
      <xdr:nvSpPr>
        <xdr:cNvPr id="8" name="ZoneTexte 7">
          <a:extLst>
            <a:ext uri="{FF2B5EF4-FFF2-40B4-BE49-F238E27FC236}">
              <a16:creationId xmlns:a16="http://schemas.microsoft.com/office/drawing/2014/main" id="{00000000-0008-0000-1B00-000008000000}"/>
            </a:ext>
          </a:extLst>
        </xdr:cNvPr>
        <xdr:cNvSpPr txBox="1"/>
      </xdr:nvSpPr>
      <xdr:spPr>
        <a:xfrm>
          <a:off x="5829300" y="3063241"/>
          <a:ext cx="3540761" cy="765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200" b="0">
              <a:solidFill>
                <a:srgbClr val="00B050"/>
              </a:solidFill>
              <a:latin typeface="Calibri" pitchFamily="34" charset="0"/>
              <a:ea typeface="+mn-ea"/>
              <a:cs typeface="+mn-cs"/>
            </a:rPr>
            <a:t> </a:t>
          </a:r>
          <a:r>
            <a:rPr lang="fr-FR" sz="1800" b="0">
              <a:solidFill>
                <a:srgbClr val="00B050"/>
              </a:solidFill>
              <a:latin typeface="Calibri" pitchFamily="34" charset="0"/>
              <a:ea typeface="+mn-ea"/>
              <a:cs typeface="+mn-cs"/>
            </a:rPr>
            <a:t>80</a:t>
          </a:r>
          <a:r>
            <a:rPr lang="fr-FR" sz="1800" b="0">
              <a:solidFill>
                <a:schemeClr val="bg1">
                  <a:lumMod val="50000"/>
                </a:schemeClr>
              </a:solidFill>
              <a:latin typeface="Calibri" pitchFamily="34" charset="0"/>
              <a:ea typeface="+mn-ea"/>
              <a:cs typeface="+mn-cs"/>
            </a:rPr>
            <a:t>%</a:t>
          </a:r>
          <a:r>
            <a:rPr lang="fr-FR" sz="1100">
              <a:solidFill>
                <a:schemeClr val="bg1">
                  <a:lumMod val="50000"/>
                </a:schemeClr>
              </a:solidFill>
            </a:rPr>
            <a:t> </a:t>
          </a:r>
        </a:p>
        <a:p>
          <a:pPr algn="r"/>
          <a:r>
            <a:rPr lang="fr-FR" sz="1200" b="0">
              <a:solidFill>
                <a:schemeClr val="bg1">
                  <a:lumMod val="50000"/>
                </a:schemeClr>
              </a:solidFill>
              <a:latin typeface="Calibri" pitchFamily="34" charset="0"/>
              <a:ea typeface="+mn-ea"/>
              <a:cs typeface="+mn-cs"/>
            </a:rPr>
            <a:t>de la population BIATSS à temps partiel est féminine</a:t>
          </a:r>
        </a:p>
        <a:p>
          <a:pPr algn="r"/>
          <a:endParaRPr lang="fr-FR" sz="12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800" b="0">
              <a:solidFill>
                <a:schemeClr val="bg1"/>
              </a:solidFill>
              <a:latin typeface="Calibri" pitchFamily="34" charset="0"/>
              <a:ea typeface="+mn-ea"/>
              <a:cs typeface="+mn-cs"/>
            </a:rPr>
            <a:t>83%</a:t>
          </a:r>
          <a:r>
            <a:rPr lang="fr-FR" sz="1200" b="0" baseline="0">
              <a:solidFill>
                <a:schemeClr val="bg1"/>
              </a:solidFill>
              <a:latin typeface="Calibri" pitchFamily="34" charset="0"/>
              <a:ea typeface="+mn-ea"/>
              <a:cs typeface="+mn-cs"/>
            </a:rPr>
            <a:t> de la population ayant opté pour la</a:t>
          </a:r>
        </a:p>
        <a:p>
          <a:pPr marL="0" marR="0" indent="0" algn="r" defTabSz="914400" eaLnBrk="1" fontAlgn="auto" latinLnBrk="0" hangingPunct="1">
            <a:lnSpc>
              <a:spcPct val="100000"/>
            </a:lnSpc>
            <a:spcBef>
              <a:spcPts val="0"/>
            </a:spcBef>
            <a:spcAft>
              <a:spcPts val="0"/>
            </a:spcAft>
            <a:buClrTx/>
            <a:buSzTx/>
            <a:buFontTx/>
            <a:buNone/>
            <a:tabLst/>
            <a:defRPr/>
          </a:pPr>
          <a:r>
            <a:rPr lang="fr-FR" sz="1200" b="0" baseline="0">
              <a:solidFill>
                <a:schemeClr val="bg1"/>
              </a:solidFill>
              <a:latin typeface="Calibri" pitchFamily="34" charset="0"/>
              <a:ea typeface="+mn-ea"/>
              <a:cs typeface="+mn-cs"/>
            </a:rPr>
            <a:t>quotité  80%, est féminine.</a:t>
          </a:r>
          <a:endParaRPr lang="fr-FR" sz="1200" b="0">
            <a:solidFill>
              <a:schemeClr val="bg1"/>
            </a:solidFill>
            <a:latin typeface="Calibri" pitchFamily="34" charset="0"/>
            <a:ea typeface="+mn-ea"/>
            <a:cs typeface="+mn-cs"/>
          </a:endParaRPr>
        </a:p>
      </xdr:txBody>
    </xdr:sp>
    <xdr:clientData/>
  </xdr:twoCellAnchor>
  <xdr:twoCellAnchor>
    <xdr:from>
      <xdr:col>8</xdr:col>
      <xdr:colOff>154305</xdr:colOff>
      <xdr:row>32</xdr:row>
      <xdr:rowOff>15240</xdr:rowOff>
    </xdr:from>
    <xdr:to>
      <xdr:col>14</xdr:col>
      <xdr:colOff>379095</xdr:colOff>
      <xdr:row>38</xdr:row>
      <xdr:rowOff>314325</xdr:rowOff>
    </xdr:to>
    <xdr:sp macro="" textlink="">
      <xdr:nvSpPr>
        <xdr:cNvPr id="7" name="ZoneTexte 6">
          <a:extLst>
            <a:ext uri="{FF2B5EF4-FFF2-40B4-BE49-F238E27FC236}">
              <a16:creationId xmlns:a16="http://schemas.microsoft.com/office/drawing/2014/main" id="{00000000-0008-0000-1B00-000007000000}"/>
            </a:ext>
          </a:extLst>
        </xdr:cNvPr>
        <xdr:cNvSpPr txBox="1"/>
      </xdr:nvSpPr>
      <xdr:spPr>
        <a:xfrm>
          <a:off x="5764530" y="4768215"/>
          <a:ext cx="3653790" cy="1223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200" b="0">
              <a:solidFill>
                <a:schemeClr val="bg1">
                  <a:lumMod val="50000"/>
                </a:schemeClr>
              </a:solidFill>
              <a:latin typeface="Calibri" pitchFamily="34" charset="0"/>
              <a:ea typeface="+mn-ea"/>
              <a:cs typeface="+mn-cs"/>
            </a:rPr>
            <a:t>Sur la totalité des agents (Enseignants</a:t>
          </a:r>
          <a:r>
            <a:rPr lang="fr-FR" sz="1200" b="0" baseline="0">
              <a:solidFill>
                <a:schemeClr val="bg1">
                  <a:lumMod val="50000"/>
                </a:schemeClr>
              </a:solidFill>
              <a:latin typeface="Calibri" pitchFamily="34" charset="0"/>
              <a:ea typeface="+mn-ea"/>
              <a:cs typeface="+mn-cs"/>
            </a:rPr>
            <a:t> et Biatss)</a:t>
          </a:r>
          <a:r>
            <a:rPr lang="fr-FR" sz="1200" b="0">
              <a:solidFill>
                <a:schemeClr val="bg1">
                  <a:lumMod val="50000"/>
                </a:schemeClr>
              </a:solidFill>
              <a:latin typeface="Calibri" pitchFamily="34" charset="0"/>
              <a:ea typeface="+mn-ea"/>
              <a:cs typeface="+mn-cs"/>
            </a:rPr>
            <a:t> à temps partiel,</a:t>
          </a:r>
        </a:p>
        <a:p>
          <a:pPr algn="r"/>
          <a:r>
            <a:rPr lang="fr-FR" sz="1800" b="0">
              <a:solidFill>
                <a:srgbClr val="00B050"/>
              </a:solidFill>
              <a:latin typeface="Calibri" pitchFamily="34" charset="0"/>
              <a:ea typeface="+mn-ea"/>
              <a:cs typeface="+mn-cs"/>
            </a:rPr>
            <a:t>16</a:t>
          </a:r>
          <a:r>
            <a:rPr lang="fr-FR" sz="1800" b="0">
              <a:solidFill>
                <a:srgbClr val="FF0000"/>
              </a:solidFill>
              <a:latin typeface="Calibri" pitchFamily="34" charset="0"/>
              <a:ea typeface="+mn-ea"/>
              <a:cs typeface="+mn-cs"/>
            </a:rPr>
            <a:t> </a:t>
          </a:r>
          <a:r>
            <a:rPr lang="fr-FR" sz="1800" b="0">
              <a:solidFill>
                <a:schemeClr val="bg1">
                  <a:lumMod val="50000"/>
                </a:schemeClr>
              </a:solidFill>
              <a:latin typeface="Calibri" pitchFamily="34" charset="0"/>
              <a:ea typeface="+mn-ea"/>
              <a:cs typeface="+mn-cs"/>
            </a:rPr>
            <a:t>%</a:t>
          </a:r>
          <a:r>
            <a:rPr lang="fr-FR" sz="1200" b="0">
              <a:solidFill>
                <a:schemeClr val="bg1">
                  <a:lumMod val="50000"/>
                </a:schemeClr>
              </a:solidFill>
              <a:latin typeface="Calibri" pitchFamily="34" charset="0"/>
              <a:ea typeface="+mn-ea"/>
              <a:cs typeface="+mn-cs"/>
            </a:rPr>
            <a:t> a souhaité </a:t>
          </a:r>
          <a:r>
            <a:rPr lang="fr-FR" sz="1200" b="0" baseline="0">
              <a:solidFill>
                <a:schemeClr val="bg1">
                  <a:lumMod val="50000"/>
                </a:schemeClr>
              </a:solidFill>
              <a:latin typeface="Calibri" pitchFamily="34" charset="0"/>
              <a:ea typeface="+mn-ea"/>
              <a:cs typeface="+mn-cs"/>
            </a:rPr>
            <a:t>une réduction de quotité pour élever un enfant ( 8% en 2021)</a:t>
          </a:r>
        </a:p>
        <a:p>
          <a:pPr algn="r"/>
          <a:r>
            <a:rPr lang="fr-FR" sz="1800" b="0">
              <a:solidFill>
                <a:srgbClr val="00B050"/>
              </a:solidFill>
              <a:latin typeface="Calibri" pitchFamily="34" charset="0"/>
              <a:ea typeface="+mn-ea"/>
              <a:cs typeface="+mn-cs"/>
            </a:rPr>
            <a:t>9</a:t>
          </a:r>
          <a:r>
            <a:rPr lang="fr-FR" sz="18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en raison d'un handicap ( 6% en 2021)</a:t>
          </a:r>
        </a:p>
      </xdr:txBody>
    </xdr:sp>
    <xdr:clientData/>
  </xdr:twoCellAnchor>
  <xdr:twoCellAnchor>
    <xdr:from>
      <xdr:col>0</xdr:col>
      <xdr:colOff>28576</xdr:colOff>
      <xdr:row>44</xdr:row>
      <xdr:rowOff>47626</xdr:rowOff>
    </xdr:from>
    <xdr:to>
      <xdr:col>8</xdr:col>
      <xdr:colOff>1057275</xdr:colOff>
      <xdr:row>51</xdr:row>
      <xdr:rowOff>133350</xdr:rowOff>
    </xdr:to>
    <xdr:sp macro="" textlink="">
      <xdr:nvSpPr>
        <xdr:cNvPr id="10" name="ZoneTexte 9">
          <a:extLst>
            <a:ext uri="{FF2B5EF4-FFF2-40B4-BE49-F238E27FC236}">
              <a16:creationId xmlns:a16="http://schemas.microsoft.com/office/drawing/2014/main" id="{00000000-0008-0000-1B00-00000A000000}"/>
            </a:ext>
          </a:extLst>
        </xdr:cNvPr>
        <xdr:cNvSpPr txBox="1"/>
      </xdr:nvSpPr>
      <xdr:spPr>
        <a:xfrm>
          <a:off x="28576" y="6877051"/>
          <a:ext cx="6162674" cy="1085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lgn="l"/>
          <a:r>
            <a:rPr lang="fr-FR" sz="800" b="0">
              <a:solidFill>
                <a:schemeClr val="bg1">
                  <a:lumMod val="50000"/>
                </a:schemeClr>
              </a:solidFill>
              <a:latin typeface="Calibri" pitchFamily="34" charset="0"/>
              <a:ea typeface="+mn-ea"/>
              <a:cs typeface="+mn-cs"/>
            </a:rPr>
            <a:t>Depuis</a:t>
          </a:r>
          <a:r>
            <a:rPr lang="fr-FR" sz="800" b="0" baseline="0">
              <a:solidFill>
                <a:schemeClr val="bg1">
                  <a:lumMod val="50000"/>
                </a:schemeClr>
              </a:solidFill>
              <a:latin typeface="Calibri" pitchFamily="34" charset="0"/>
              <a:ea typeface="+mn-ea"/>
              <a:cs typeface="+mn-cs"/>
            </a:rPr>
            <a:t> l'adoption de la convention cadre sur le télétravail le 28/01/19, en accord avec le décret 2016-151 du 11 février 2016, la pratique du télétravail au sein de l'UJM</a:t>
          </a:r>
          <a:r>
            <a:rPr lang="fr-FR" sz="800" b="0">
              <a:solidFill>
                <a:schemeClr val="bg1">
                  <a:lumMod val="50000"/>
                </a:schemeClr>
              </a:solidFill>
              <a:latin typeface="Calibri" pitchFamily="34" charset="0"/>
              <a:ea typeface="+mn-ea"/>
              <a:cs typeface="+mn-cs"/>
            </a:rPr>
            <a:t> s'articule autour de prinicpes généraux tels que :</a:t>
          </a:r>
        </a:p>
        <a:p>
          <a:pPr marL="0" indent="0" algn="l"/>
          <a:r>
            <a:rPr lang="fr-FR" sz="800" b="0">
              <a:solidFill>
                <a:schemeClr val="bg1">
                  <a:lumMod val="50000"/>
                </a:schemeClr>
              </a:solidFill>
              <a:latin typeface="Calibri" pitchFamily="34" charset="0"/>
              <a:ea typeface="+mn-ea"/>
              <a:cs typeface="+mn-cs"/>
            </a:rPr>
            <a:t>- le</a:t>
          </a:r>
          <a:r>
            <a:rPr lang="fr-FR" sz="800" b="0" baseline="0">
              <a:solidFill>
                <a:schemeClr val="bg1">
                  <a:lumMod val="50000"/>
                </a:schemeClr>
              </a:solidFill>
              <a:latin typeface="Calibri" pitchFamily="34" charset="0"/>
              <a:ea typeface="+mn-ea"/>
              <a:cs typeface="+mn-cs"/>
            </a:rPr>
            <a:t> volontariat,</a:t>
          </a:r>
          <a:endParaRPr lang="fr-FR" sz="800" b="0">
            <a:solidFill>
              <a:schemeClr val="bg1">
                <a:lumMod val="50000"/>
              </a:schemeClr>
            </a:solidFill>
            <a:latin typeface="Calibri" pitchFamily="34" charset="0"/>
            <a:ea typeface="+mn-ea"/>
            <a:cs typeface="+mn-cs"/>
          </a:endParaRPr>
        </a:p>
        <a:p>
          <a:pPr marL="0" indent="0" algn="l"/>
          <a:r>
            <a:rPr lang="fr-FR" sz="800" b="0">
              <a:solidFill>
                <a:schemeClr val="bg1">
                  <a:lumMod val="50000"/>
                </a:schemeClr>
              </a:solidFill>
              <a:latin typeface="Calibri" pitchFamily="34" charset="0"/>
              <a:ea typeface="+mn-ea"/>
              <a:cs typeface="+mn-cs"/>
            </a:rPr>
            <a:t>- la possibilité de réaliser certaines  fonctions en dehors des locaux de l'UJM,</a:t>
          </a:r>
        </a:p>
        <a:p>
          <a:pPr marL="0" indent="0" algn="l"/>
          <a:r>
            <a:rPr lang="fr-FR" sz="800" b="0">
              <a:solidFill>
                <a:schemeClr val="bg1">
                  <a:lumMod val="50000"/>
                </a:schemeClr>
              </a:solidFill>
              <a:latin typeface="Calibri" pitchFamily="34" charset="0"/>
              <a:ea typeface="+mn-ea"/>
              <a:cs typeface="+mn-cs"/>
            </a:rPr>
            <a:t>- une ancienneté minimale d'une année sur le poste,</a:t>
          </a:r>
        </a:p>
        <a:p>
          <a:pPr marL="0" indent="0" algn="l"/>
          <a:r>
            <a:rPr lang="fr-FR" sz="800" b="0">
              <a:solidFill>
                <a:schemeClr val="bg1">
                  <a:lumMod val="50000"/>
                </a:schemeClr>
              </a:solidFill>
              <a:latin typeface="Calibri" pitchFamily="34" charset="0"/>
              <a:ea typeface="+mn-ea"/>
              <a:cs typeface="+mn-cs"/>
            </a:rPr>
            <a:t>-</a:t>
          </a:r>
          <a:r>
            <a:rPr lang="fr-FR" sz="800" b="0" baseline="0">
              <a:solidFill>
                <a:schemeClr val="bg1">
                  <a:lumMod val="50000"/>
                </a:schemeClr>
              </a:solidFill>
              <a:latin typeface="Calibri" pitchFamily="34" charset="0"/>
              <a:ea typeface="+mn-ea"/>
              <a:cs typeface="+mn-cs"/>
            </a:rPr>
            <a:t> la limitation à une journée maximum par semaine,</a:t>
          </a:r>
        </a:p>
        <a:p>
          <a:pPr marL="0" indent="0" algn="l"/>
          <a:r>
            <a:rPr lang="fr-FR" sz="800" b="0" baseline="0">
              <a:solidFill>
                <a:schemeClr val="bg1">
                  <a:lumMod val="50000"/>
                </a:schemeClr>
              </a:solidFill>
              <a:latin typeface="Calibri" pitchFamily="34" charset="0"/>
              <a:ea typeface="+mn-ea"/>
              <a:cs typeface="+mn-cs"/>
            </a:rPr>
            <a:t>- le maintien des possibilités de déroulement de carrière.</a:t>
          </a:r>
          <a:endParaRPr lang="fr-FR" sz="800" b="0">
            <a:solidFill>
              <a:schemeClr val="bg1">
                <a:lumMod val="50000"/>
              </a:schemeClr>
            </a:solidFill>
            <a:latin typeface="Calibri" pitchFamily="34" charset="0"/>
            <a:ea typeface="+mn-ea"/>
            <a:cs typeface="+mn-cs"/>
          </a:endParaRPr>
        </a:p>
        <a:p>
          <a:pPr marL="0" indent="0" algn="l"/>
          <a:endParaRPr lang="fr-FR" sz="800" b="0" baseline="0">
            <a:solidFill>
              <a:schemeClr val="bg1">
                <a:lumMod val="50000"/>
              </a:schemeClr>
            </a:solidFill>
            <a:latin typeface="Calibri" pitchFamily="34" charset="0"/>
            <a:ea typeface="+mn-ea"/>
            <a:cs typeface="+mn-cs"/>
          </a:endParaRPr>
        </a:p>
        <a:p>
          <a:pPr marL="0" indent="0" algn="l"/>
          <a:endParaRPr lang="fr-FR" sz="800" b="0">
            <a:solidFill>
              <a:schemeClr val="bg1">
                <a:lumMod val="50000"/>
              </a:schemeClr>
            </a:solidFill>
            <a:latin typeface="Calibri" pitchFamily="34" charset="0"/>
            <a:ea typeface="+mn-ea"/>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10</xdr:col>
      <xdr:colOff>210589</xdr:colOff>
      <xdr:row>2</xdr:row>
      <xdr:rowOff>73891</xdr:rowOff>
    </xdr:from>
    <xdr:to>
      <xdr:col>16</xdr:col>
      <xdr:colOff>237963</xdr:colOff>
      <xdr:row>13</xdr:row>
      <xdr:rowOff>66156</xdr:rowOff>
    </xdr:to>
    <xdr:sp macro="" textlink="">
      <xdr:nvSpPr>
        <xdr:cNvPr id="7" name="ZoneTexte 6">
          <a:extLst>
            <a:ext uri="{FF2B5EF4-FFF2-40B4-BE49-F238E27FC236}">
              <a16:creationId xmlns:a16="http://schemas.microsoft.com/office/drawing/2014/main" id="{00000000-0008-0000-1C00-000007000000}"/>
            </a:ext>
          </a:extLst>
        </xdr:cNvPr>
        <xdr:cNvSpPr txBox="1"/>
      </xdr:nvSpPr>
      <xdr:spPr>
        <a:xfrm>
          <a:off x="6249439" y="435841"/>
          <a:ext cx="3513524" cy="1459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2000" b="0">
              <a:solidFill>
                <a:srgbClr val="00B050"/>
              </a:solidFill>
              <a:latin typeface="Calibri" pitchFamily="34" charset="0"/>
              <a:ea typeface="+mn-ea"/>
              <a:cs typeface="+mn-cs"/>
            </a:rPr>
            <a:t>373</a:t>
          </a:r>
          <a:r>
            <a:rPr lang="fr-FR" sz="1200" b="0">
              <a:solidFill>
                <a:schemeClr val="bg1">
                  <a:lumMod val="50000"/>
                </a:schemeClr>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comptes actifs durant l'année 2022</a:t>
          </a:r>
        </a:p>
        <a:p>
          <a:pPr algn="r"/>
          <a:r>
            <a:rPr lang="fr-FR" sz="2000" b="0">
              <a:solidFill>
                <a:srgbClr val="00B050"/>
              </a:solidFill>
              <a:latin typeface="Calibri" pitchFamily="34" charset="0"/>
              <a:ea typeface="+mn-ea"/>
              <a:cs typeface="+mn-cs"/>
            </a:rPr>
            <a:t>889</a:t>
          </a:r>
          <a:r>
            <a:rPr lang="fr-FR" sz="1100">
              <a:solidFill>
                <a:schemeClr val="bg1">
                  <a:lumMod val="50000"/>
                </a:schemeClr>
              </a:solidFill>
            </a:rPr>
            <a:t> </a:t>
          </a:r>
          <a:r>
            <a:rPr lang="fr-FR" sz="1100" b="0">
              <a:solidFill>
                <a:schemeClr val="bg1">
                  <a:lumMod val="50000"/>
                </a:schemeClr>
              </a:solidFill>
              <a:latin typeface="Calibri" pitchFamily="34" charset="0"/>
              <a:ea typeface="+mn-ea"/>
              <a:cs typeface="+mn-cs"/>
            </a:rPr>
            <a:t>jours épargnés en</a:t>
          </a:r>
          <a:r>
            <a:rPr lang="fr-FR" sz="1100" b="0" baseline="0">
              <a:solidFill>
                <a:schemeClr val="bg1">
                  <a:lumMod val="50000"/>
                </a:schemeClr>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2022</a:t>
          </a:r>
        </a:p>
        <a:p>
          <a:pPr algn="r">
            <a:lnSpc>
              <a:spcPts val="1400"/>
            </a:lnSpc>
          </a:pPr>
          <a:r>
            <a:rPr lang="fr-FR" sz="1100" b="0">
              <a:solidFill>
                <a:schemeClr val="bg1">
                  <a:lumMod val="50000"/>
                </a:schemeClr>
              </a:solidFill>
              <a:latin typeface="Calibri" pitchFamily="34" charset="0"/>
              <a:ea typeface="+mn-ea"/>
              <a:cs typeface="+mn-cs"/>
            </a:rPr>
            <a:t>contre</a:t>
          </a:r>
        </a:p>
        <a:p>
          <a:pPr algn="r">
            <a:lnSpc>
              <a:spcPts val="1400"/>
            </a:lnSpc>
          </a:pPr>
          <a:r>
            <a:rPr lang="fr-FR" sz="2000" b="0">
              <a:solidFill>
                <a:schemeClr val="bg1">
                  <a:lumMod val="50000"/>
                </a:schemeClr>
              </a:solidFill>
              <a:latin typeface="Calibri" pitchFamily="34" charset="0"/>
              <a:ea typeface="+mn-ea"/>
              <a:cs typeface="+mn-cs"/>
            </a:rPr>
            <a:t>1086 </a:t>
          </a:r>
          <a:r>
            <a:rPr lang="fr-FR" sz="1100" b="0">
              <a:solidFill>
                <a:schemeClr val="bg1">
                  <a:lumMod val="50000"/>
                </a:schemeClr>
              </a:solidFill>
              <a:latin typeface="Calibri" pitchFamily="34" charset="0"/>
              <a:ea typeface="+mn-ea"/>
              <a:cs typeface="+mn-cs"/>
            </a:rPr>
            <a:t>en 2021</a:t>
          </a:r>
        </a:p>
        <a:p>
          <a:pPr algn="r">
            <a:lnSpc>
              <a:spcPts val="1400"/>
            </a:lnSpc>
          </a:pPr>
          <a:r>
            <a:rPr lang="fr-FR" sz="2000" b="0">
              <a:solidFill>
                <a:schemeClr val="bg1">
                  <a:lumMod val="50000"/>
                </a:schemeClr>
              </a:solidFill>
              <a:latin typeface="Calibri" pitchFamily="34" charset="0"/>
              <a:ea typeface="+mn-ea"/>
              <a:cs typeface="+mn-cs"/>
            </a:rPr>
            <a:t>1125</a:t>
          </a:r>
          <a:r>
            <a:rPr lang="fr-FR" sz="1100" b="0">
              <a:solidFill>
                <a:schemeClr val="bg1">
                  <a:lumMod val="50000"/>
                </a:schemeClr>
              </a:solidFill>
              <a:latin typeface="Calibri" pitchFamily="34" charset="0"/>
              <a:ea typeface="+mn-ea"/>
              <a:cs typeface="+mn-cs"/>
            </a:rPr>
            <a:t> en 2020</a:t>
          </a:r>
        </a:p>
      </xdr:txBody>
    </xdr:sp>
    <xdr:clientData/>
  </xdr:twoCellAnchor>
  <xdr:twoCellAnchor>
    <xdr:from>
      <xdr:col>0</xdr:col>
      <xdr:colOff>169254</xdr:colOff>
      <xdr:row>11</xdr:row>
      <xdr:rowOff>76719</xdr:rowOff>
    </xdr:from>
    <xdr:to>
      <xdr:col>8</xdr:col>
      <xdr:colOff>397971</xdr:colOff>
      <xdr:row>28</xdr:row>
      <xdr:rowOff>149802</xdr:rowOff>
    </xdr:to>
    <xdr:graphicFrame macro="">
      <xdr:nvGraphicFramePr>
        <xdr:cNvPr id="25659005" name="Graphique 11">
          <a:extLst>
            <a:ext uri="{FF2B5EF4-FFF2-40B4-BE49-F238E27FC236}">
              <a16:creationId xmlns:a16="http://schemas.microsoft.com/office/drawing/2014/main" id="{00000000-0008-0000-1C00-00007D868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464414</xdr:colOff>
      <xdr:row>27</xdr:row>
      <xdr:rowOff>76200</xdr:rowOff>
    </xdr:from>
    <xdr:to>
      <xdr:col>17</xdr:col>
      <xdr:colOff>282980</xdr:colOff>
      <xdr:row>41</xdr:row>
      <xdr:rowOff>254923</xdr:rowOff>
    </xdr:to>
    <xdr:graphicFrame macro="">
      <xdr:nvGraphicFramePr>
        <xdr:cNvPr id="25659006" name="Graphique 13">
          <a:extLst>
            <a:ext uri="{FF2B5EF4-FFF2-40B4-BE49-F238E27FC236}">
              <a16:creationId xmlns:a16="http://schemas.microsoft.com/office/drawing/2014/main" id="{00000000-0008-0000-1C00-00007E868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301335</xdr:colOff>
      <xdr:row>13</xdr:row>
      <xdr:rowOff>63557</xdr:rowOff>
    </xdr:from>
    <xdr:to>
      <xdr:col>16</xdr:col>
      <xdr:colOff>669583</xdr:colOff>
      <xdr:row>22</xdr:row>
      <xdr:rowOff>114126</xdr:rowOff>
    </xdr:to>
    <xdr:sp macro="" textlink="">
      <xdr:nvSpPr>
        <xdr:cNvPr id="10" name="ZoneTexte 9">
          <a:extLst>
            <a:ext uri="{FF2B5EF4-FFF2-40B4-BE49-F238E27FC236}">
              <a16:creationId xmlns:a16="http://schemas.microsoft.com/office/drawing/2014/main" id="{00000000-0008-0000-1C00-00000A000000}"/>
            </a:ext>
          </a:extLst>
        </xdr:cNvPr>
        <xdr:cNvSpPr txBox="1"/>
      </xdr:nvSpPr>
      <xdr:spPr>
        <a:xfrm>
          <a:off x="7330785" y="2016182"/>
          <a:ext cx="3330523" cy="13364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2000" b="0">
              <a:solidFill>
                <a:srgbClr val="00B050"/>
              </a:solidFill>
              <a:latin typeface="Calibri" pitchFamily="34" charset="0"/>
              <a:ea typeface="+mn-ea"/>
              <a:cs typeface="+mn-cs"/>
            </a:rPr>
            <a:t>61</a:t>
          </a:r>
          <a:r>
            <a:rPr lang="fr-FR" sz="2000" b="0">
              <a:solidFill>
                <a:schemeClr val="bg1">
                  <a:lumMod val="50000"/>
                </a:schemeClr>
              </a:solidFill>
              <a:latin typeface="Calibri" pitchFamily="34" charset="0"/>
              <a:ea typeface="+mn-ea"/>
              <a:cs typeface="+mn-cs"/>
            </a:rPr>
            <a:t>%</a:t>
          </a:r>
          <a:r>
            <a:rPr lang="fr-FR" sz="1200" b="0">
              <a:solidFill>
                <a:srgbClr val="FF0000"/>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de la population BIATSS a ouvert un compte épargne-temps</a:t>
          </a:r>
        </a:p>
        <a:p>
          <a:pPr algn="r"/>
          <a:endParaRPr lang="fr-FR" sz="1200" b="0">
            <a:solidFill>
              <a:schemeClr val="bg1">
                <a:lumMod val="50000"/>
              </a:schemeClr>
            </a:solidFill>
            <a:latin typeface="Calibri" pitchFamily="34" charset="0"/>
            <a:ea typeface="+mn-ea"/>
            <a:cs typeface="+mn-cs"/>
          </a:endParaRPr>
        </a:p>
        <a:p>
          <a:pPr algn="r"/>
          <a:r>
            <a:rPr lang="fr-FR" sz="2000" b="0">
              <a:solidFill>
                <a:srgbClr val="00B050"/>
              </a:solidFill>
              <a:latin typeface="Calibri" pitchFamily="34" charset="0"/>
              <a:ea typeface="+mn-ea"/>
              <a:cs typeface="+mn-cs"/>
            </a:rPr>
            <a:t>47</a:t>
          </a:r>
          <a:r>
            <a:rPr lang="fr-FR" sz="2000" b="0">
              <a:solidFill>
                <a:schemeClr val="bg1">
                  <a:lumMod val="50000"/>
                </a:schemeClr>
              </a:solidFill>
              <a:latin typeface="Calibri" pitchFamily="34" charset="0"/>
              <a:ea typeface="+mn-ea"/>
              <a:cs typeface="+mn-cs"/>
            </a:rPr>
            <a:t>%</a:t>
          </a:r>
          <a:r>
            <a:rPr lang="fr-FR" sz="1200" b="0">
              <a:solidFill>
                <a:schemeClr val="bg1">
                  <a:lumMod val="50000"/>
                </a:schemeClr>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des comptes ont été alimentés en 2022 </a:t>
          </a:r>
        </a:p>
      </xdr:txBody>
    </xdr:sp>
    <xdr:clientData/>
  </xdr:twoCellAnchor>
  <xdr:twoCellAnchor>
    <xdr:from>
      <xdr:col>0</xdr:col>
      <xdr:colOff>55591</xdr:colOff>
      <xdr:row>1</xdr:row>
      <xdr:rowOff>76200</xdr:rowOff>
    </xdr:from>
    <xdr:to>
      <xdr:col>11</xdr:col>
      <xdr:colOff>331470</xdr:colOff>
      <xdr:row>11</xdr:row>
      <xdr:rowOff>64770</xdr:rowOff>
    </xdr:to>
    <xdr:sp macro="" textlink="">
      <xdr:nvSpPr>
        <xdr:cNvPr id="18" name="ZoneTexte 17">
          <a:extLst>
            <a:ext uri="{FF2B5EF4-FFF2-40B4-BE49-F238E27FC236}">
              <a16:creationId xmlns:a16="http://schemas.microsoft.com/office/drawing/2014/main" id="{00000000-0008-0000-1C00-000012000000}"/>
            </a:ext>
          </a:extLst>
        </xdr:cNvPr>
        <xdr:cNvSpPr txBox="1"/>
      </xdr:nvSpPr>
      <xdr:spPr>
        <a:xfrm>
          <a:off x="55591" y="304800"/>
          <a:ext cx="6981479" cy="1322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900" b="0">
              <a:solidFill>
                <a:schemeClr val="bg1">
                  <a:lumMod val="50000"/>
                </a:schemeClr>
              </a:solidFill>
              <a:latin typeface="Calibri" pitchFamily="34" charset="0"/>
              <a:ea typeface="+mn-ea"/>
              <a:cs typeface="+mn-cs"/>
            </a:rPr>
            <a:t>Le compte épargne-temps (CET), ouvert à la demande de l'agent, est alimenté par le report des congés annuels qui n'ont pas été pris au titre de l'année de référence . Il permet à l'agent d'accumuler des congés dans la limite d'un plafond de 60 jours. En</a:t>
          </a:r>
          <a:r>
            <a:rPr lang="fr-FR" sz="900" b="0" baseline="0">
              <a:solidFill>
                <a:schemeClr val="bg1">
                  <a:lumMod val="50000"/>
                </a:schemeClr>
              </a:solidFill>
              <a:latin typeface="Calibri" pitchFamily="34" charset="0"/>
              <a:ea typeface="+mn-ea"/>
              <a:cs typeface="+mn-cs"/>
            </a:rPr>
            <a:t> raison de la crise sanitaire et des confinements, la réglementation a été temporairement allégée : le plafond  a été augmenté à 70 jours et le nombre maximum de jours épargnables est passé de 10 à 20.</a:t>
          </a:r>
          <a:endParaRPr lang="fr-FR" sz="900" b="0">
            <a:solidFill>
              <a:schemeClr val="bg1">
                <a:lumMod val="50000"/>
              </a:schemeClr>
            </a:solidFill>
            <a:latin typeface="Calibri" pitchFamily="34" charset="0"/>
            <a:ea typeface="+mn-ea"/>
            <a:cs typeface="+mn-cs"/>
          </a:endParaRPr>
        </a:p>
        <a:p>
          <a:r>
            <a:rPr lang="fr-FR" sz="900" b="0">
              <a:solidFill>
                <a:schemeClr val="bg1">
                  <a:lumMod val="50000"/>
                </a:schemeClr>
              </a:solidFill>
              <a:latin typeface="Calibri" pitchFamily="34" charset="0"/>
              <a:ea typeface="+mn-ea"/>
              <a:cs typeface="+mn-cs"/>
            </a:rPr>
            <a:t>Pour l'utilisaton des jours épargnés, trois options sont offertes :</a:t>
          </a:r>
        </a:p>
        <a:p>
          <a:r>
            <a:rPr lang="fr-FR" sz="900" b="0">
              <a:solidFill>
                <a:schemeClr val="bg1">
                  <a:lumMod val="50000"/>
                </a:schemeClr>
              </a:solidFill>
              <a:latin typeface="Calibri" pitchFamily="34" charset="0"/>
              <a:ea typeface="+mn-ea"/>
              <a:cs typeface="+mn-cs"/>
            </a:rPr>
            <a:t>- alimentation &lt; ou égale à </a:t>
          </a:r>
          <a:r>
            <a:rPr lang="fr-FR" sz="900" b="0">
              <a:solidFill>
                <a:srgbClr val="FF0000"/>
              </a:solidFill>
              <a:latin typeface="Calibri" pitchFamily="34" charset="0"/>
              <a:ea typeface="+mn-ea"/>
              <a:cs typeface="+mn-cs"/>
            </a:rPr>
            <a:t>15</a:t>
          </a:r>
          <a:r>
            <a:rPr lang="fr-FR" sz="900" b="0">
              <a:solidFill>
                <a:schemeClr val="bg1">
                  <a:lumMod val="50000"/>
                </a:schemeClr>
              </a:solidFill>
              <a:latin typeface="Calibri" pitchFamily="34" charset="0"/>
              <a:ea typeface="+mn-ea"/>
              <a:cs typeface="+mn-cs"/>
            </a:rPr>
            <a:t> jours : les jours ne sont utilisables que sous forme de congés</a:t>
          </a:r>
        </a:p>
        <a:p>
          <a:r>
            <a:rPr lang="fr-FR" sz="900" b="0">
              <a:solidFill>
                <a:schemeClr val="bg1">
                  <a:lumMod val="50000"/>
                </a:schemeClr>
              </a:solidFill>
              <a:latin typeface="Calibri" pitchFamily="34" charset="0"/>
              <a:ea typeface="+mn-ea"/>
              <a:cs typeface="+mn-cs"/>
            </a:rPr>
            <a:t>- alimentation au-delà de </a:t>
          </a:r>
          <a:r>
            <a:rPr lang="fr-FR" sz="900" b="0">
              <a:solidFill>
                <a:srgbClr val="FF0000"/>
              </a:solidFill>
              <a:latin typeface="Calibri" pitchFamily="34" charset="0"/>
              <a:ea typeface="+mn-ea"/>
              <a:cs typeface="+mn-cs"/>
            </a:rPr>
            <a:t>15</a:t>
          </a:r>
          <a:r>
            <a:rPr lang="fr-FR" sz="900" b="0">
              <a:solidFill>
                <a:schemeClr val="bg1">
                  <a:lumMod val="50000"/>
                </a:schemeClr>
              </a:solidFill>
              <a:latin typeface="Calibri" pitchFamily="34" charset="0"/>
              <a:ea typeface="+mn-ea"/>
              <a:cs typeface="+mn-cs"/>
            </a:rPr>
            <a:t> jours, les jours peuvent être indemnisés</a:t>
          </a:r>
        </a:p>
        <a:p>
          <a:r>
            <a:rPr lang="fr-FR" sz="900" b="0">
              <a:solidFill>
                <a:schemeClr val="bg1">
                  <a:lumMod val="50000"/>
                </a:schemeClr>
              </a:solidFill>
              <a:latin typeface="Calibri" pitchFamily="34" charset="0"/>
              <a:ea typeface="+mn-ea"/>
              <a:cs typeface="+mn-cs"/>
            </a:rPr>
            <a:t>-</a:t>
          </a:r>
          <a:r>
            <a:rPr lang="fr-FR" sz="900" b="0" baseline="0">
              <a:solidFill>
                <a:schemeClr val="bg1">
                  <a:lumMod val="50000"/>
                </a:schemeClr>
              </a:solidFill>
              <a:latin typeface="Calibri" pitchFamily="34" charset="0"/>
              <a:ea typeface="+mn-ea"/>
              <a:cs typeface="+mn-cs"/>
            </a:rPr>
            <a:t> </a:t>
          </a:r>
          <a:r>
            <a:rPr lang="fr-FR" sz="900" b="0">
              <a:solidFill>
                <a:schemeClr val="bg1">
                  <a:lumMod val="50000"/>
                </a:schemeClr>
              </a:solidFill>
              <a:latin typeface="Calibri" pitchFamily="34" charset="0"/>
              <a:ea typeface="+mn-ea"/>
              <a:cs typeface="+mn-cs"/>
            </a:rPr>
            <a:t>ou pris en compte dans le régime de Retraite Additionnelle de la Fonction Publique (RAFP),</a:t>
          </a:r>
          <a:r>
            <a:rPr lang="fr-FR" sz="900" b="0" baseline="0">
              <a:solidFill>
                <a:schemeClr val="bg1">
                  <a:lumMod val="50000"/>
                </a:schemeClr>
              </a:solidFill>
              <a:latin typeface="Calibri" pitchFamily="34" charset="0"/>
              <a:ea typeface="+mn-ea"/>
              <a:cs typeface="+mn-cs"/>
            </a:rPr>
            <a:t> pour les personnels titulaires.</a:t>
          </a:r>
          <a:endParaRPr lang="fr-FR" sz="900" b="0" i="0" u="none" strike="noStrike">
            <a:solidFill>
              <a:schemeClr val="dk1"/>
            </a:solidFill>
            <a:latin typeface="+mn-lt"/>
            <a:ea typeface="+mn-ea"/>
            <a:cs typeface="+mn-cs"/>
          </a:endParaRPr>
        </a:p>
        <a:p>
          <a:endParaRPr lang="fr-FR" sz="800" b="0">
            <a:solidFill>
              <a:schemeClr val="bg1">
                <a:lumMod val="50000"/>
              </a:schemeClr>
            </a:solidFill>
            <a:latin typeface="Calibri" pitchFamily="34" charset="0"/>
            <a:ea typeface="+mn-ea"/>
            <a:cs typeface="+mn-cs"/>
          </a:endParaRPr>
        </a:p>
      </xdr:txBody>
    </xdr:sp>
    <xdr:clientData/>
  </xdr:twoCellAnchor>
  <xdr:twoCellAnchor>
    <xdr:from>
      <xdr:col>10</xdr:col>
      <xdr:colOff>123825</xdr:colOff>
      <xdr:row>56</xdr:row>
      <xdr:rowOff>72909</xdr:rowOff>
    </xdr:from>
    <xdr:to>
      <xdr:col>16</xdr:col>
      <xdr:colOff>662940</xdr:colOff>
      <xdr:row>65</xdr:row>
      <xdr:rowOff>95250</xdr:rowOff>
    </xdr:to>
    <xdr:sp macro="" textlink="">
      <xdr:nvSpPr>
        <xdr:cNvPr id="2" name="ZoneTexte 1">
          <a:extLst>
            <a:ext uri="{FF2B5EF4-FFF2-40B4-BE49-F238E27FC236}">
              <a16:creationId xmlns:a16="http://schemas.microsoft.com/office/drawing/2014/main" id="{00000000-0008-0000-1C00-000002000000}"/>
            </a:ext>
          </a:extLst>
        </xdr:cNvPr>
        <xdr:cNvSpPr txBox="1"/>
      </xdr:nvSpPr>
      <xdr:spPr>
        <a:xfrm>
          <a:off x="6448425" y="9369309"/>
          <a:ext cx="4206240" cy="177494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r-FR" sz="1800" b="0" i="0" u="none" strike="noStrike" kern="0" cap="none" spc="0" normalizeH="0" baseline="0" noProof="0">
              <a:ln>
                <a:noFill/>
              </a:ln>
              <a:solidFill>
                <a:schemeClr val="bg1">
                  <a:lumMod val="50000"/>
                </a:schemeClr>
              </a:solidFill>
              <a:effectLst/>
              <a:uLnTx/>
              <a:uFillTx/>
              <a:latin typeface="Calibri" pitchFamily="34" charset="0"/>
              <a:ea typeface="+mn-ea"/>
              <a:cs typeface="+mn-cs"/>
            </a:rPr>
            <a:t>5,8</a:t>
          </a:r>
          <a:r>
            <a:rPr kumimoji="0" lang="fr-FR" sz="1050" b="0" i="0" u="none" strike="noStrike" kern="0" cap="none" spc="0" normalizeH="0" baseline="0" noProof="0">
              <a:ln>
                <a:noFill/>
              </a:ln>
              <a:solidFill>
                <a:schemeClr val="bg1">
                  <a:lumMod val="50000"/>
                </a:schemeClr>
              </a:solidFill>
              <a:effectLst/>
              <a:uLnTx/>
              <a:uFillTx/>
              <a:latin typeface="Calibri" pitchFamily="34" charset="0"/>
              <a:ea typeface="+mn-ea"/>
              <a:cs typeface="+mn-cs"/>
            </a:rPr>
            <a:t> jours ont été déposés en moyenne, par agent en 2021</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schemeClr val="bg1">
                  <a:lumMod val="50000"/>
                </a:schemeClr>
              </a:solidFill>
              <a:effectLst/>
              <a:uLnTx/>
              <a:uFillTx/>
              <a:latin typeface="Calibri" pitchFamily="34" charset="0"/>
              <a:ea typeface="+mn-ea"/>
              <a:cs typeface="+mn-cs"/>
            </a:rPr>
            <a:t>Traduits en ETP, les jours stockés sur les comptes épargne-temps représentent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800" b="0" i="0" u="none" strike="noStrike" kern="0" cap="none" spc="0" normalizeH="0" baseline="0" noProof="0">
              <a:ln>
                <a:noFill/>
              </a:ln>
              <a:solidFill>
                <a:schemeClr val="bg1">
                  <a:lumMod val="50000"/>
                </a:schemeClr>
              </a:solidFill>
              <a:effectLst/>
              <a:uLnTx/>
              <a:uFillTx/>
              <a:latin typeface="Calibri" pitchFamily="34" charset="0"/>
              <a:ea typeface="+mn-ea"/>
              <a:cs typeface="+mn-cs"/>
            </a:rPr>
            <a:t>12 </a:t>
          </a:r>
          <a:r>
            <a:rPr kumimoji="0" lang="fr-FR" sz="1050" b="0" i="0" u="none" strike="noStrike" kern="0" cap="none" spc="0" normalizeH="0" baseline="0" noProof="0">
              <a:ln>
                <a:noFill/>
              </a:ln>
              <a:solidFill>
                <a:schemeClr val="bg1">
                  <a:lumMod val="50000"/>
                </a:schemeClr>
              </a:solidFill>
              <a:effectLst/>
              <a:uLnTx/>
              <a:uFillTx/>
              <a:latin typeface="Calibri" pitchFamily="34" charset="0"/>
              <a:ea typeface="+mn-ea"/>
              <a:cs typeface="+mn-cs"/>
            </a:rPr>
            <a:t>ETP</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schemeClr val="bg1">
                  <a:lumMod val="50000"/>
                </a:schemeClr>
              </a:solidFill>
              <a:effectLst/>
              <a:uLnTx/>
              <a:uFillTx/>
              <a:latin typeface="Calibri" pitchFamily="34" charset="0"/>
              <a:ea typeface="+mn-ea"/>
              <a:cs typeface="+mn-cs"/>
            </a:rPr>
            <a:t> répartis de la manière suivante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schemeClr val="bg1">
                  <a:lumMod val="50000"/>
                </a:schemeClr>
              </a:solidFill>
              <a:effectLst/>
              <a:uLnTx/>
              <a:uFillTx/>
              <a:latin typeface="Calibri" pitchFamily="34" charset="0"/>
              <a:ea typeface="+mn-ea"/>
              <a:cs typeface="+mn-cs"/>
            </a:rPr>
            <a:t>Catégorie A - 4,87 ETP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schemeClr val="bg1">
                  <a:lumMod val="50000"/>
                </a:schemeClr>
              </a:solidFill>
              <a:effectLst/>
              <a:uLnTx/>
              <a:uFillTx/>
              <a:latin typeface="Calibri" pitchFamily="34" charset="0"/>
              <a:ea typeface="+mn-ea"/>
              <a:cs typeface="+mn-cs"/>
            </a:rPr>
            <a:t>Catégorie B - 3,88 ETP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schemeClr val="bg1">
                  <a:lumMod val="50000"/>
                </a:schemeClr>
              </a:solidFill>
              <a:effectLst/>
              <a:uLnTx/>
              <a:uFillTx/>
              <a:latin typeface="Calibri" pitchFamily="34" charset="0"/>
              <a:ea typeface="+mn-ea"/>
              <a:cs typeface="+mn-cs"/>
            </a:rPr>
            <a:t>Catégorie C - 3,24 ETP </a:t>
          </a:r>
        </a:p>
      </xdr:txBody>
    </xdr:sp>
    <xdr:clientData/>
  </xdr:twoCellAnchor>
  <xdr:twoCellAnchor>
    <xdr:from>
      <xdr:col>0</xdr:col>
      <xdr:colOff>120015</xdr:colOff>
      <xdr:row>29</xdr:row>
      <xdr:rowOff>120019</xdr:rowOff>
    </xdr:from>
    <xdr:to>
      <xdr:col>7</xdr:col>
      <xdr:colOff>333375</xdr:colOff>
      <xdr:row>41</xdr:row>
      <xdr:rowOff>253365</xdr:rowOff>
    </xdr:to>
    <xdr:graphicFrame macro="">
      <xdr:nvGraphicFramePr>
        <xdr:cNvPr id="3" name="Graphique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142874</xdr:colOff>
      <xdr:row>70</xdr:row>
      <xdr:rowOff>24765</xdr:rowOff>
    </xdr:from>
    <xdr:to>
      <xdr:col>16</xdr:col>
      <xdr:colOff>676274</xdr:colOff>
      <xdr:row>80</xdr:row>
      <xdr:rowOff>114300</xdr:rowOff>
    </xdr:to>
    <xdr:sp macro="" textlink="">
      <xdr:nvSpPr>
        <xdr:cNvPr id="4" name="ZoneTexte 3">
          <a:extLst>
            <a:ext uri="{FF2B5EF4-FFF2-40B4-BE49-F238E27FC236}">
              <a16:creationId xmlns:a16="http://schemas.microsoft.com/office/drawing/2014/main" id="{7093EA60-99EE-4E9B-B0AB-4E568C711E95}"/>
            </a:ext>
          </a:extLst>
        </xdr:cNvPr>
        <xdr:cNvSpPr txBox="1"/>
      </xdr:nvSpPr>
      <xdr:spPr>
        <a:xfrm>
          <a:off x="6467474" y="11864340"/>
          <a:ext cx="4200525" cy="19183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r-FR" sz="1800" b="0" i="0" u="none" strike="noStrike" kern="0" cap="none" spc="0" normalizeH="0" baseline="0" noProof="0">
              <a:ln>
                <a:noFill/>
              </a:ln>
              <a:solidFill>
                <a:prstClr val="white">
                  <a:lumMod val="50000"/>
                </a:prstClr>
              </a:solidFill>
              <a:effectLst/>
              <a:uLnTx/>
              <a:uFillTx/>
              <a:latin typeface="Calibri" pitchFamily="34" charset="0"/>
              <a:ea typeface="+mn-ea"/>
              <a:cs typeface="+mn-cs"/>
            </a:rPr>
            <a:t>5,5</a:t>
          </a:r>
          <a:r>
            <a:rPr kumimoji="0" lang="fr-FR" sz="8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 </a:t>
          </a:r>
          <a:r>
            <a:rPr kumimoji="0" lang="fr-FR" sz="1050" b="0" i="0" u="none" strike="noStrike" kern="0" cap="none" spc="0" normalizeH="0" baseline="0" noProof="0">
              <a:ln>
                <a:noFill/>
              </a:ln>
              <a:solidFill>
                <a:prstClr val="white">
                  <a:lumMod val="50000"/>
                </a:prstClr>
              </a:solidFill>
              <a:effectLst/>
              <a:uLnTx/>
              <a:uFillTx/>
              <a:latin typeface="Calibri" pitchFamily="34" charset="0"/>
              <a:ea typeface="+mn-ea"/>
              <a:cs typeface="+mn-cs"/>
            </a:rPr>
            <a:t>jours ont été déposés en moyenne, par agent en 2020</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fr-FR" sz="8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prstClr val="white">
                  <a:lumMod val="50000"/>
                </a:prstClr>
              </a:solidFill>
              <a:effectLst/>
              <a:uLnTx/>
              <a:uFillTx/>
              <a:latin typeface="Calibri" pitchFamily="34" charset="0"/>
              <a:ea typeface="+mn-ea"/>
              <a:cs typeface="+mn-cs"/>
            </a:rPr>
            <a:t>Traduits en ETP, les jours stockés sur les comptes épargne-temps représentent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800" b="0" i="0" u="none" strike="noStrike" kern="0" cap="none" spc="0" normalizeH="0" baseline="0" noProof="0">
              <a:ln>
                <a:noFill/>
              </a:ln>
              <a:solidFill>
                <a:prstClr val="white">
                  <a:lumMod val="50000"/>
                </a:prstClr>
              </a:solidFill>
              <a:effectLst/>
              <a:uLnTx/>
              <a:uFillTx/>
              <a:latin typeface="Calibri" pitchFamily="34" charset="0"/>
              <a:ea typeface="+mn-ea"/>
              <a:cs typeface="+mn-cs"/>
            </a:rPr>
            <a:t>14,82 </a:t>
          </a:r>
          <a:r>
            <a:rPr kumimoji="0" lang="fr-FR" sz="1050" b="0" i="0" u="none" strike="noStrike" kern="0" cap="none" spc="0" normalizeH="0" baseline="0" noProof="0">
              <a:ln>
                <a:noFill/>
              </a:ln>
              <a:solidFill>
                <a:prstClr val="white">
                  <a:lumMod val="50000"/>
                </a:prstClr>
              </a:solidFill>
              <a:effectLst/>
              <a:uLnTx/>
              <a:uFillTx/>
              <a:latin typeface="Calibri" pitchFamily="34" charset="0"/>
              <a:ea typeface="+mn-ea"/>
              <a:cs typeface="+mn-cs"/>
            </a:rPr>
            <a:t>ETP</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prstClr val="white">
                  <a:lumMod val="50000"/>
                </a:prstClr>
              </a:solidFill>
              <a:effectLst/>
              <a:uLnTx/>
              <a:uFillTx/>
              <a:latin typeface="Calibri" pitchFamily="34" charset="0"/>
              <a:ea typeface="+mn-ea"/>
              <a:cs typeface="+mn-cs"/>
            </a:rPr>
            <a:t> répartis de la manière suivante :</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fr-FR" sz="8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prstClr val="white">
                  <a:lumMod val="50000"/>
                </a:prstClr>
              </a:solidFill>
              <a:effectLst/>
              <a:uLnTx/>
              <a:uFillTx/>
              <a:latin typeface="Calibri" pitchFamily="34" charset="0"/>
              <a:ea typeface="+mn-ea"/>
              <a:cs typeface="+mn-cs"/>
            </a:rPr>
            <a:t>Catégorie A - 6,53 ETP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prstClr val="white">
                  <a:lumMod val="50000"/>
                </a:prstClr>
              </a:solidFill>
              <a:effectLst/>
              <a:uLnTx/>
              <a:uFillTx/>
              <a:latin typeface="Calibri" pitchFamily="34" charset="0"/>
              <a:ea typeface="+mn-ea"/>
              <a:cs typeface="+mn-cs"/>
            </a:rPr>
            <a:t>Catégorie B - 4,30 ETP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prstClr val="white">
                  <a:lumMod val="50000"/>
                </a:prstClr>
              </a:solidFill>
              <a:effectLst/>
              <a:uLnTx/>
              <a:uFillTx/>
              <a:latin typeface="Calibri" pitchFamily="34" charset="0"/>
              <a:ea typeface="+mn-ea"/>
              <a:cs typeface="+mn-cs"/>
            </a:rPr>
            <a:t>Catégorie C - 3,99 ETP </a:t>
          </a:r>
        </a:p>
        <a:p>
          <a:endParaRPr lang="fr-FR" sz="1100"/>
        </a:p>
      </xdr:txBody>
    </xdr:sp>
    <xdr:clientData/>
  </xdr:twoCellAnchor>
  <xdr:twoCellAnchor>
    <xdr:from>
      <xdr:col>10</xdr:col>
      <xdr:colOff>93345</xdr:colOff>
      <xdr:row>45</xdr:row>
      <xdr:rowOff>28575</xdr:rowOff>
    </xdr:from>
    <xdr:to>
      <xdr:col>17</xdr:col>
      <xdr:colOff>133350</xdr:colOff>
      <xdr:row>54</xdr:row>
      <xdr:rowOff>47625</xdr:rowOff>
    </xdr:to>
    <xdr:sp macro="" textlink="">
      <xdr:nvSpPr>
        <xdr:cNvPr id="5" name="ZoneTexte 4">
          <a:extLst>
            <a:ext uri="{FF2B5EF4-FFF2-40B4-BE49-F238E27FC236}">
              <a16:creationId xmlns:a16="http://schemas.microsoft.com/office/drawing/2014/main" id="{252551EB-142B-4440-81C0-73F28CFB742B}"/>
            </a:ext>
          </a:extLst>
        </xdr:cNvPr>
        <xdr:cNvSpPr txBox="1"/>
      </xdr:nvSpPr>
      <xdr:spPr>
        <a:xfrm>
          <a:off x="6417945" y="7334250"/>
          <a:ext cx="4392930" cy="172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r" eaLnBrk="1" fontAlgn="auto" latinLnBrk="0" hangingPunct="1"/>
          <a:r>
            <a:rPr lang="fr-FR" sz="1800" b="0" baseline="0">
              <a:solidFill>
                <a:srgbClr val="00B050"/>
              </a:solidFill>
              <a:latin typeface="Calibri" pitchFamily="34" charset="0"/>
              <a:ea typeface="+mn-ea"/>
              <a:cs typeface="+mn-cs"/>
            </a:rPr>
            <a:t>5,1</a:t>
          </a:r>
          <a:r>
            <a:rPr lang="fr-FR" sz="1050" b="0">
              <a:solidFill>
                <a:schemeClr val="bg1">
                  <a:lumMod val="50000"/>
                </a:schemeClr>
              </a:solidFill>
              <a:latin typeface="Calibri" pitchFamily="34" charset="0"/>
              <a:ea typeface="+mn-ea"/>
              <a:cs typeface="+mn-cs"/>
            </a:rPr>
            <a:t> jours ont été déposés en moyenne, par agent en 2022</a:t>
          </a:r>
        </a:p>
        <a:p>
          <a:pPr marL="0" indent="0" algn="r" eaLnBrk="1" fontAlgn="auto" latinLnBrk="0" hangingPunct="1"/>
          <a:r>
            <a:rPr lang="fr-FR" sz="1050" b="0">
              <a:solidFill>
                <a:schemeClr val="bg1">
                  <a:lumMod val="50000"/>
                </a:schemeClr>
              </a:solidFill>
              <a:latin typeface="Calibri" pitchFamily="34" charset="0"/>
              <a:ea typeface="+mn-ea"/>
              <a:cs typeface="+mn-cs"/>
            </a:rPr>
            <a:t>Traduits en ETP, les jours stockés sur les comptes épargne-temps représentent  :</a:t>
          </a:r>
        </a:p>
        <a:p>
          <a:pPr marL="0" indent="0" algn="r" eaLnBrk="1" fontAlgn="auto" latinLnBrk="0" hangingPunct="1"/>
          <a:r>
            <a:rPr lang="fr-FR" sz="1800" b="0" baseline="0">
              <a:solidFill>
                <a:srgbClr val="00B050"/>
              </a:solidFill>
              <a:latin typeface="Calibri" pitchFamily="34" charset="0"/>
              <a:ea typeface="+mn-ea"/>
              <a:cs typeface="+mn-cs"/>
            </a:rPr>
            <a:t>12</a:t>
          </a:r>
          <a:r>
            <a:rPr lang="fr-FR" sz="1800" b="0" baseline="0">
              <a:solidFill>
                <a:schemeClr val="bg1">
                  <a:lumMod val="50000"/>
                </a:schemeClr>
              </a:solidFill>
              <a:latin typeface="Calibri" pitchFamily="34" charset="0"/>
              <a:ea typeface="+mn-ea"/>
              <a:cs typeface="+mn-cs"/>
            </a:rPr>
            <a:t> </a:t>
          </a:r>
          <a:r>
            <a:rPr lang="fr-FR" sz="1050" b="0">
              <a:solidFill>
                <a:schemeClr val="bg1">
                  <a:lumMod val="50000"/>
                </a:schemeClr>
              </a:solidFill>
              <a:latin typeface="Calibri" pitchFamily="34" charset="0"/>
              <a:ea typeface="+mn-ea"/>
              <a:cs typeface="+mn-cs"/>
            </a:rPr>
            <a:t>ETP</a:t>
          </a:r>
        </a:p>
        <a:p>
          <a:pPr marL="0" indent="0" algn="r" eaLnBrk="1" fontAlgn="auto" latinLnBrk="0" hangingPunct="1"/>
          <a:r>
            <a:rPr lang="fr-FR" sz="1050" b="0">
              <a:solidFill>
                <a:schemeClr val="bg1">
                  <a:lumMod val="50000"/>
                </a:schemeClr>
              </a:solidFill>
              <a:latin typeface="Calibri" pitchFamily="34" charset="0"/>
              <a:ea typeface="+mn-ea"/>
              <a:cs typeface="+mn-cs"/>
            </a:rPr>
            <a:t> répartis de la manière suivante :</a:t>
          </a:r>
        </a:p>
        <a:p>
          <a:pPr marL="0" indent="0" algn="r" eaLnBrk="1" fontAlgn="auto" latinLnBrk="0" hangingPunct="1"/>
          <a:r>
            <a:rPr lang="fr-FR" sz="1050" b="0">
              <a:solidFill>
                <a:schemeClr val="bg1">
                  <a:lumMod val="50000"/>
                </a:schemeClr>
              </a:solidFill>
              <a:latin typeface="Calibri" pitchFamily="34" charset="0"/>
              <a:ea typeface="+mn-ea"/>
              <a:cs typeface="+mn-cs"/>
            </a:rPr>
            <a:t>Catégorie A - </a:t>
          </a:r>
          <a:r>
            <a:rPr lang="fr-FR" sz="1050" b="0">
              <a:solidFill>
                <a:srgbClr val="00B050"/>
              </a:solidFill>
              <a:latin typeface="Calibri" pitchFamily="34" charset="0"/>
              <a:ea typeface="+mn-ea"/>
              <a:cs typeface="+mn-cs"/>
            </a:rPr>
            <a:t>4,73</a:t>
          </a:r>
          <a:r>
            <a:rPr lang="fr-FR" sz="1050" b="0">
              <a:solidFill>
                <a:schemeClr val="bg1">
                  <a:lumMod val="50000"/>
                </a:schemeClr>
              </a:solidFill>
              <a:latin typeface="Calibri" pitchFamily="34" charset="0"/>
              <a:ea typeface="+mn-ea"/>
              <a:cs typeface="+mn-cs"/>
            </a:rPr>
            <a:t> ETP </a:t>
          </a:r>
        </a:p>
        <a:p>
          <a:pPr marL="0" indent="0" algn="r" eaLnBrk="1" fontAlgn="auto" latinLnBrk="0" hangingPunct="1"/>
          <a:r>
            <a:rPr lang="fr-FR" sz="1050" b="0">
              <a:solidFill>
                <a:schemeClr val="bg1">
                  <a:lumMod val="50000"/>
                </a:schemeClr>
              </a:solidFill>
              <a:latin typeface="Calibri" pitchFamily="34" charset="0"/>
              <a:ea typeface="+mn-ea"/>
              <a:cs typeface="+mn-cs"/>
            </a:rPr>
            <a:t>Catégorie B - </a:t>
          </a:r>
          <a:r>
            <a:rPr lang="fr-FR" sz="1050" b="0">
              <a:solidFill>
                <a:srgbClr val="00B050"/>
              </a:solidFill>
              <a:latin typeface="Calibri" pitchFamily="34" charset="0"/>
              <a:ea typeface="+mn-ea"/>
              <a:cs typeface="+mn-cs"/>
            </a:rPr>
            <a:t>3,91</a:t>
          </a:r>
          <a:r>
            <a:rPr lang="fr-FR" sz="1050" b="0">
              <a:solidFill>
                <a:schemeClr val="bg1">
                  <a:lumMod val="50000"/>
                </a:schemeClr>
              </a:solidFill>
              <a:latin typeface="Calibri" pitchFamily="34" charset="0"/>
              <a:ea typeface="+mn-ea"/>
              <a:cs typeface="+mn-cs"/>
            </a:rPr>
            <a:t> ETP </a:t>
          </a:r>
        </a:p>
        <a:p>
          <a:pPr marL="0" indent="0" algn="r" eaLnBrk="1" fontAlgn="auto" latinLnBrk="0" hangingPunct="1"/>
          <a:r>
            <a:rPr lang="fr-FR" sz="1050" b="0">
              <a:solidFill>
                <a:schemeClr val="bg1">
                  <a:lumMod val="50000"/>
                </a:schemeClr>
              </a:solidFill>
              <a:latin typeface="Calibri" pitchFamily="34" charset="0"/>
              <a:ea typeface="+mn-ea"/>
              <a:cs typeface="+mn-cs"/>
            </a:rPr>
            <a:t>Catégorie C - </a:t>
          </a:r>
          <a:r>
            <a:rPr lang="fr-FR" sz="1050" b="0">
              <a:solidFill>
                <a:srgbClr val="00B050"/>
              </a:solidFill>
              <a:latin typeface="Calibri" pitchFamily="34" charset="0"/>
              <a:ea typeface="+mn-ea"/>
              <a:cs typeface="+mn-cs"/>
            </a:rPr>
            <a:t>2,91</a:t>
          </a:r>
          <a:r>
            <a:rPr lang="fr-FR" sz="1050" b="0">
              <a:solidFill>
                <a:schemeClr val="bg1">
                  <a:lumMod val="50000"/>
                </a:schemeClr>
              </a:solidFill>
              <a:latin typeface="Calibri" pitchFamily="34" charset="0"/>
              <a:ea typeface="+mn-ea"/>
              <a:cs typeface="+mn-cs"/>
            </a:rPr>
            <a:t> ETP </a:t>
          </a:r>
        </a:p>
        <a:p>
          <a:endParaRPr lang="fr-FR"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11</xdr:col>
      <xdr:colOff>873125</xdr:colOff>
      <xdr:row>1</xdr:row>
      <xdr:rowOff>45086</xdr:rowOff>
    </xdr:from>
    <xdr:to>
      <xdr:col>16</xdr:col>
      <xdr:colOff>4233</xdr:colOff>
      <xdr:row>21</xdr:row>
      <xdr:rowOff>31750</xdr:rowOff>
    </xdr:to>
    <xdr:sp macro="" textlink="">
      <xdr:nvSpPr>
        <xdr:cNvPr id="19" name="ZoneTexte 18">
          <a:extLst>
            <a:ext uri="{FF2B5EF4-FFF2-40B4-BE49-F238E27FC236}">
              <a16:creationId xmlns:a16="http://schemas.microsoft.com/office/drawing/2014/main" id="{00000000-0008-0000-1D00-000013000000}"/>
            </a:ext>
          </a:extLst>
        </xdr:cNvPr>
        <xdr:cNvSpPr txBox="1"/>
      </xdr:nvSpPr>
      <xdr:spPr>
        <a:xfrm>
          <a:off x="7273925" y="283211"/>
          <a:ext cx="2502958" cy="28441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2800" b="0">
              <a:solidFill>
                <a:srgbClr val="FF0000"/>
              </a:solidFill>
              <a:latin typeface="Calibri" pitchFamily="34" charset="0"/>
              <a:ea typeface="+mn-ea"/>
              <a:cs typeface="+mn-cs"/>
            </a:rPr>
            <a:t>21</a:t>
          </a:r>
          <a:r>
            <a:rPr lang="fr-FR" sz="1200" b="0">
              <a:solidFill>
                <a:schemeClr val="bg1">
                  <a:lumMod val="50000"/>
                </a:schemeClr>
              </a:solidFill>
              <a:latin typeface="Calibri" pitchFamily="34" charset="0"/>
              <a:ea typeface="+mn-ea"/>
              <a:cs typeface="+mn-cs"/>
            </a:rPr>
            <a:t> jours</a:t>
          </a:r>
        </a:p>
        <a:p>
          <a:pPr algn="r"/>
          <a:r>
            <a:rPr lang="fr-FR" sz="1200" b="0">
              <a:solidFill>
                <a:schemeClr val="bg1">
                  <a:lumMod val="50000"/>
                </a:schemeClr>
              </a:solidFill>
              <a:latin typeface="Calibri" pitchFamily="34" charset="0"/>
              <a:ea typeface="+mn-ea"/>
              <a:cs typeface="+mn-cs"/>
            </a:rPr>
            <a:t>est la durée moyenne* d'un congé ordinaire de maladie par agent ayant obtenu un congé en </a:t>
          </a:r>
          <a:r>
            <a:rPr lang="fr-FR" sz="1800" b="0">
              <a:solidFill>
                <a:schemeClr val="bg1">
                  <a:lumMod val="50000"/>
                </a:schemeClr>
              </a:solidFill>
              <a:latin typeface="Calibri" pitchFamily="34" charset="0"/>
              <a:ea typeface="+mn-ea"/>
              <a:cs typeface="+mn-cs"/>
            </a:rPr>
            <a:t>2022</a:t>
          </a:r>
          <a:r>
            <a:rPr lang="fr-FR" sz="1200" b="0">
              <a:solidFill>
                <a:schemeClr val="bg1">
                  <a:lumMod val="50000"/>
                </a:schemeClr>
              </a:solidFill>
              <a:latin typeface="Calibri" pitchFamily="34" charset="0"/>
              <a:ea typeface="+mn-ea"/>
              <a:cs typeface="+mn-cs"/>
            </a:rPr>
            <a:t>  </a:t>
          </a:r>
        </a:p>
        <a:p>
          <a:pPr algn="r"/>
          <a:endParaRPr lang="fr-FR" sz="1200" b="0">
            <a:solidFill>
              <a:schemeClr val="bg1">
                <a:lumMod val="50000"/>
              </a:schemeClr>
            </a:solidFill>
            <a:latin typeface="Calibri" pitchFamily="34" charset="0"/>
            <a:ea typeface="+mn-ea"/>
            <a:cs typeface="+mn-cs"/>
          </a:endParaRPr>
        </a:p>
        <a:p>
          <a:pPr algn="r"/>
          <a:r>
            <a:rPr lang="fr-FR" sz="1200" b="0">
              <a:solidFill>
                <a:schemeClr val="bg1">
                  <a:lumMod val="50000"/>
                </a:schemeClr>
              </a:solidFill>
              <a:latin typeface="Calibri" pitchFamily="34" charset="0"/>
              <a:ea typeface="+mn-ea"/>
              <a:cs typeface="+mn-cs"/>
            </a:rPr>
            <a:t>en </a:t>
          </a:r>
          <a:r>
            <a:rPr lang="fr-FR" sz="1800" b="0">
              <a:solidFill>
                <a:srgbClr val="FF0000"/>
              </a:solidFill>
              <a:latin typeface="Calibri" pitchFamily="34" charset="0"/>
              <a:ea typeface="+mn-ea"/>
              <a:cs typeface="+mn-cs"/>
            </a:rPr>
            <a:t>2020</a:t>
          </a:r>
          <a:r>
            <a:rPr lang="fr-FR" sz="18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et</a:t>
          </a:r>
          <a:r>
            <a:rPr lang="fr-FR" sz="1800" b="0">
              <a:solidFill>
                <a:schemeClr val="bg1">
                  <a:lumMod val="50000"/>
                </a:schemeClr>
              </a:solidFill>
              <a:latin typeface="Calibri" pitchFamily="34" charset="0"/>
              <a:ea typeface="+mn-ea"/>
              <a:cs typeface="+mn-cs"/>
            </a:rPr>
            <a:t> </a:t>
          </a:r>
          <a:r>
            <a:rPr lang="fr-FR" sz="1800" b="0">
              <a:solidFill>
                <a:srgbClr val="FF0000"/>
              </a:solidFill>
              <a:latin typeface="Calibri" pitchFamily="34" charset="0"/>
              <a:ea typeface="+mn-ea"/>
              <a:cs typeface="+mn-cs"/>
            </a:rPr>
            <a:t>2021</a:t>
          </a:r>
          <a:r>
            <a:rPr lang="fr-FR" sz="18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la durée moyenne était de </a:t>
          </a:r>
          <a:r>
            <a:rPr lang="fr-FR" sz="1800" b="0">
              <a:solidFill>
                <a:srgbClr val="FF0000"/>
              </a:solidFill>
              <a:latin typeface="Calibri" pitchFamily="34" charset="0"/>
              <a:ea typeface="+mn-ea"/>
              <a:cs typeface="+mn-cs"/>
            </a:rPr>
            <a:t>23</a:t>
          </a:r>
          <a:r>
            <a:rPr lang="fr-FR" sz="1100" b="0">
              <a:solidFill>
                <a:schemeClr val="bg1">
                  <a:lumMod val="50000"/>
                </a:schemeClr>
              </a:solidFill>
              <a:effectLst/>
              <a:latin typeface="+mn-lt"/>
              <a:ea typeface="+mn-ea"/>
              <a:cs typeface="+mn-cs"/>
            </a:rPr>
            <a:t> </a:t>
          </a:r>
          <a:r>
            <a:rPr lang="fr-FR" sz="1200" b="0">
              <a:solidFill>
                <a:schemeClr val="bg1">
                  <a:lumMod val="50000"/>
                </a:schemeClr>
              </a:solidFill>
              <a:latin typeface="Calibri" pitchFamily="34" charset="0"/>
              <a:ea typeface="+mn-ea"/>
              <a:cs typeface="+mn-cs"/>
            </a:rPr>
            <a:t>et </a:t>
          </a:r>
          <a:r>
            <a:rPr lang="fr-FR" sz="1800" b="0">
              <a:solidFill>
                <a:srgbClr val="FF0000"/>
              </a:solidFill>
              <a:latin typeface="Calibri" pitchFamily="34" charset="0"/>
              <a:ea typeface="+mn-ea"/>
              <a:cs typeface="+mn-cs"/>
            </a:rPr>
            <a:t>13 </a:t>
          </a:r>
          <a:r>
            <a:rPr lang="fr-FR" sz="1200" b="0">
              <a:solidFill>
                <a:schemeClr val="bg1">
                  <a:lumMod val="50000"/>
                </a:schemeClr>
              </a:solidFill>
              <a:latin typeface="Calibri" pitchFamily="34" charset="0"/>
              <a:ea typeface="+mn-ea"/>
              <a:cs typeface="+mn-cs"/>
            </a:rPr>
            <a:t>jours</a:t>
          </a:r>
          <a:r>
            <a:rPr lang="fr-FR" sz="1100" b="0">
              <a:solidFill>
                <a:schemeClr val="bg1">
                  <a:lumMod val="50000"/>
                </a:schemeClr>
              </a:solidFill>
              <a:effectLst/>
              <a:latin typeface="+mn-lt"/>
              <a:ea typeface="+mn-ea"/>
              <a:cs typeface="+mn-cs"/>
            </a:rPr>
            <a:t> </a:t>
          </a:r>
          <a:endParaRPr lang="fr-FR" sz="18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endParaRPr lang="fr-FR" sz="8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800" b="0">
              <a:solidFill>
                <a:schemeClr val="bg1">
                  <a:lumMod val="50000"/>
                </a:schemeClr>
              </a:solidFill>
              <a:latin typeface="Calibri" pitchFamily="34" charset="0"/>
              <a:ea typeface="+mn-ea"/>
              <a:cs typeface="+mn-cs"/>
            </a:rPr>
            <a:t>Durée moyenne d'un congé par agent : la moyenne est calculée sur le nombre d'agents ayant eu un COM.</a:t>
          </a:r>
          <a:endParaRPr lang="fr-FR" sz="1100">
            <a:solidFill>
              <a:schemeClr val="bg1">
                <a:lumMod val="50000"/>
              </a:schemeClr>
            </a:solidFill>
            <a:latin typeface="+mn-lt"/>
            <a:ea typeface="+mn-ea"/>
            <a:cs typeface="+mn-cs"/>
          </a:endParaRPr>
        </a:p>
        <a:p>
          <a:pPr algn="r"/>
          <a:endParaRPr lang="fr-FR" sz="1100">
            <a:solidFill>
              <a:srgbClr val="FF0066"/>
            </a:solidFill>
            <a:latin typeface="+mn-lt"/>
            <a:ea typeface="+mn-ea"/>
            <a:cs typeface="+mn-cs"/>
          </a:endParaRPr>
        </a:p>
        <a:p>
          <a:pPr algn="r"/>
          <a:r>
            <a:rPr lang="fr-FR" sz="1200" b="0">
              <a:solidFill>
                <a:srgbClr val="FF0066"/>
              </a:solidFill>
              <a:latin typeface="Calibri" pitchFamily="34" charset="0"/>
              <a:ea typeface="+mn-ea"/>
              <a:cs typeface="+mn-cs"/>
            </a:rPr>
            <a:t>  </a:t>
          </a:r>
        </a:p>
      </xdr:txBody>
    </xdr:sp>
    <xdr:clientData/>
  </xdr:twoCellAnchor>
  <xdr:twoCellAnchor>
    <xdr:from>
      <xdr:col>0</xdr:col>
      <xdr:colOff>5292</xdr:colOff>
      <xdr:row>3</xdr:row>
      <xdr:rowOff>68154</xdr:rowOff>
    </xdr:from>
    <xdr:to>
      <xdr:col>12</xdr:col>
      <xdr:colOff>19050</xdr:colOff>
      <xdr:row>27</xdr:row>
      <xdr:rowOff>59267</xdr:rowOff>
    </xdr:to>
    <xdr:graphicFrame macro="">
      <xdr:nvGraphicFramePr>
        <xdr:cNvPr id="13015572" name="Graphique 9">
          <a:extLst>
            <a:ext uri="{FF2B5EF4-FFF2-40B4-BE49-F238E27FC236}">
              <a16:creationId xmlns:a16="http://schemas.microsoft.com/office/drawing/2014/main" id="{00000000-0008-0000-1D00-0000149AC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80222</xdr:colOff>
      <xdr:row>21</xdr:row>
      <xdr:rowOff>120015</xdr:rowOff>
    </xdr:from>
    <xdr:to>
      <xdr:col>15</xdr:col>
      <xdr:colOff>433916</xdr:colOff>
      <xdr:row>30</xdr:row>
      <xdr:rowOff>99695</xdr:rowOff>
    </xdr:to>
    <xdr:sp macro="" textlink="">
      <xdr:nvSpPr>
        <xdr:cNvPr id="2" name="ZoneTexte 1">
          <a:extLst>
            <a:ext uri="{FF2B5EF4-FFF2-40B4-BE49-F238E27FC236}">
              <a16:creationId xmlns:a16="http://schemas.microsoft.com/office/drawing/2014/main" id="{00000000-0008-0000-1D00-000002000000}"/>
            </a:ext>
          </a:extLst>
        </xdr:cNvPr>
        <xdr:cNvSpPr txBox="1"/>
      </xdr:nvSpPr>
      <xdr:spPr>
        <a:xfrm>
          <a:off x="6481022" y="3215640"/>
          <a:ext cx="3192144" cy="1313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a:solidFill>
                <a:schemeClr val="bg1">
                  <a:lumMod val="50000"/>
                </a:schemeClr>
              </a:solidFill>
              <a:latin typeface="Calibri" pitchFamily="34" charset="0"/>
              <a:ea typeface="+mn-ea"/>
              <a:cs typeface="+mn-cs"/>
            </a:rPr>
            <a:t>La</a:t>
          </a:r>
          <a:r>
            <a:rPr lang="fr-FR" sz="1200" b="0" baseline="0">
              <a:solidFill>
                <a:schemeClr val="bg1">
                  <a:lumMod val="50000"/>
                </a:schemeClr>
              </a:solidFill>
              <a:latin typeface="Calibri" pitchFamily="34" charset="0"/>
              <a:ea typeface="+mn-ea"/>
              <a:cs typeface="+mn-cs"/>
            </a:rPr>
            <a:t> somme du </a:t>
          </a:r>
          <a:r>
            <a:rPr lang="fr-FR" sz="1200" b="0">
              <a:solidFill>
                <a:schemeClr val="bg1">
                  <a:lumMod val="50000"/>
                </a:schemeClr>
              </a:solidFill>
              <a:latin typeface="Calibri" pitchFamily="34" charset="0"/>
              <a:ea typeface="+mn-ea"/>
              <a:cs typeface="+mn-cs"/>
            </a:rPr>
            <a:t>nombre de jours d'arrêt (congés de maladie ordinaire - CMO) des personnels BIATSS représente </a:t>
          </a:r>
        </a:p>
        <a:p>
          <a:pPr algn="ctr"/>
          <a:r>
            <a:rPr lang="fr-FR" sz="2000" b="0" baseline="0">
              <a:solidFill>
                <a:srgbClr val="FF0000"/>
              </a:solidFill>
              <a:latin typeface="Calibri" pitchFamily="34" charset="0"/>
              <a:ea typeface="+mn-ea"/>
              <a:cs typeface="+mn-cs"/>
            </a:rPr>
            <a:t>24</a:t>
          </a:r>
          <a:r>
            <a:rPr lang="fr-FR" sz="1200" b="0">
              <a:solidFill>
                <a:srgbClr val="FF0000"/>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ETP</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19</xdr:row>
      <xdr:rowOff>95250</xdr:rowOff>
    </xdr:from>
    <xdr:to>
      <xdr:col>15</xdr:col>
      <xdr:colOff>1154431</xdr:colOff>
      <xdr:row>26</xdr:row>
      <xdr:rowOff>108585</xdr:rowOff>
    </xdr:to>
    <xdr:sp macro="" textlink="">
      <xdr:nvSpPr>
        <xdr:cNvPr id="4" name="ZoneTexte 3">
          <a:extLst>
            <a:ext uri="{FF2B5EF4-FFF2-40B4-BE49-F238E27FC236}">
              <a16:creationId xmlns:a16="http://schemas.microsoft.com/office/drawing/2014/main" id="{00000000-0008-0000-1E00-000004000000}"/>
            </a:ext>
          </a:extLst>
        </xdr:cNvPr>
        <xdr:cNvSpPr txBox="1"/>
      </xdr:nvSpPr>
      <xdr:spPr>
        <a:xfrm>
          <a:off x="1906" y="2990850"/>
          <a:ext cx="9389745" cy="10496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0">
              <a:solidFill>
                <a:schemeClr val="bg1">
                  <a:lumMod val="50000"/>
                </a:schemeClr>
              </a:solidFill>
              <a:latin typeface="Calibri" pitchFamily="34" charset="0"/>
              <a:ea typeface="+mn-ea"/>
              <a:cs typeface="+mn-cs"/>
            </a:rPr>
            <a:t>COM : congé ordinaire de maladie - Durée : 3 mois à plein traitement ; 3 mois à demi traitement </a:t>
          </a:r>
        </a:p>
        <a:p>
          <a:r>
            <a:rPr lang="fr-FR" sz="800" b="0">
              <a:solidFill>
                <a:schemeClr val="bg1">
                  <a:lumMod val="50000"/>
                </a:schemeClr>
              </a:solidFill>
              <a:latin typeface="Calibri" pitchFamily="34" charset="0"/>
              <a:ea typeface="+mn-ea"/>
              <a:cs typeface="+mn-cs"/>
            </a:rPr>
            <a:t>CLM : congé de longue maladie  - pour le</a:t>
          </a:r>
          <a:r>
            <a:rPr lang="fr-FR" sz="800" b="0" baseline="0">
              <a:solidFill>
                <a:schemeClr val="bg1">
                  <a:lumMod val="50000"/>
                </a:schemeClr>
              </a:solidFill>
              <a:latin typeface="Calibri" pitchFamily="34" charset="0"/>
              <a:ea typeface="+mn-ea"/>
              <a:cs typeface="+mn-cs"/>
            </a:rPr>
            <a:t> fonctionnaire atteint d'une </a:t>
          </a:r>
          <a:r>
            <a:rPr lang="fr-FR" sz="800" b="0">
              <a:solidFill>
                <a:schemeClr val="bg1">
                  <a:lumMod val="50000"/>
                </a:schemeClr>
              </a:solidFill>
              <a:latin typeface="Calibri" pitchFamily="34" charset="0"/>
              <a:ea typeface="+mn-ea"/>
              <a:cs typeface="+mn-cs"/>
            </a:rPr>
            <a:t>affection</a:t>
          </a:r>
          <a:r>
            <a:rPr lang="fr-FR" sz="800" b="0" baseline="0">
              <a:solidFill>
                <a:schemeClr val="bg1">
                  <a:lumMod val="50000"/>
                </a:schemeClr>
              </a:solidFill>
              <a:latin typeface="Calibri" pitchFamily="34" charset="0"/>
              <a:ea typeface="+mn-ea"/>
              <a:cs typeface="+mn-cs"/>
            </a:rPr>
            <a:t> figurant sur une liste</a:t>
          </a:r>
          <a:r>
            <a:rPr lang="fr-FR" sz="800" b="0">
              <a:solidFill>
                <a:schemeClr val="bg1">
                  <a:lumMod val="50000"/>
                </a:schemeClr>
              </a:solidFill>
              <a:latin typeface="Calibri" pitchFamily="34" charset="0"/>
              <a:ea typeface="+mn-ea"/>
              <a:cs typeface="+mn-cs"/>
            </a:rPr>
            <a:t> fixée par arrêté ou reconnu par le Comité médical - Durée : 1 an à plein traitement ; 2 ans à demi-traitement </a:t>
          </a:r>
        </a:p>
        <a:p>
          <a:r>
            <a:rPr lang="fr-FR" sz="800" b="0">
              <a:solidFill>
                <a:schemeClr val="bg1">
                  <a:lumMod val="50000"/>
                </a:schemeClr>
              </a:solidFill>
              <a:latin typeface="Calibri" pitchFamily="34" charset="0"/>
              <a:ea typeface="+mn-ea"/>
              <a:cs typeface="+mn-cs"/>
            </a:rPr>
            <a:t>CLD : congé de longue durée - pour le fonctionnaire atteint de</a:t>
          </a:r>
          <a:r>
            <a:rPr lang="fr-FR" sz="800" b="0" baseline="0">
              <a:solidFill>
                <a:schemeClr val="bg1">
                  <a:lumMod val="50000"/>
                </a:schemeClr>
              </a:solidFill>
              <a:latin typeface="Calibri" pitchFamily="34" charset="0"/>
              <a:ea typeface="+mn-ea"/>
              <a:cs typeface="+mn-cs"/>
            </a:rPr>
            <a:t> certaines pathologies </a:t>
          </a:r>
          <a:r>
            <a:rPr lang="fr-FR" sz="800" b="0">
              <a:solidFill>
                <a:schemeClr val="bg1">
                  <a:lumMod val="50000"/>
                </a:schemeClr>
              </a:solidFill>
              <a:latin typeface="Calibri" pitchFamily="34" charset="0"/>
              <a:ea typeface="+mn-ea"/>
              <a:cs typeface="+mn-cs"/>
            </a:rPr>
            <a:t> (au nombre de 5) - Durée : 3 ans à plein traitement </a:t>
          </a:r>
          <a:r>
            <a:rPr lang="fr-FR" sz="800" b="0" baseline="0">
              <a:solidFill>
                <a:schemeClr val="bg1">
                  <a:lumMod val="50000"/>
                </a:schemeClr>
              </a:solidFill>
              <a:latin typeface="Calibri" pitchFamily="34" charset="0"/>
              <a:ea typeface="+mn-ea"/>
              <a:cs typeface="+mn-cs"/>
            </a:rPr>
            <a:t> ; </a:t>
          </a:r>
          <a:r>
            <a:rPr lang="fr-FR" sz="800" b="0">
              <a:solidFill>
                <a:schemeClr val="bg1">
                  <a:lumMod val="50000"/>
                </a:schemeClr>
              </a:solidFill>
              <a:latin typeface="Calibri" pitchFamily="34" charset="0"/>
              <a:ea typeface="+mn-ea"/>
              <a:cs typeface="+mn-cs"/>
            </a:rPr>
            <a:t>2 ans à demi-traitement </a:t>
          </a:r>
        </a:p>
        <a:p>
          <a:r>
            <a:rPr lang="fr-FR" sz="800" b="0">
              <a:solidFill>
                <a:schemeClr val="bg1">
                  <a:lumMod val="50000"/>
                </a:schemeClr>
              </a:solidFill>
              <a:latin typeface="Calibri" pitchFamily="34" charset="0"/>
              <a:ea typeface="+mn-ea"/>
              <a:cs typeface="+mn-cs"/>
            </a:rPr>
            <a:t>CGM : congé de grave</a:t>
          </a:r>
          <a:r>
            <a:rPr lang="fr-FR" sz="800" b="0" baseline="0">
              <a:solidFill>
                <a:schemeClr val="bg1">
                  <a:lumMod val="50000"/>
                </a:schemeClr>
              </a:solidFill>
              <a:latin typeface="Calibri" pitchFamily="34" charset="0"/>
              <a:ea typeface="+mn-ea"/>
              <a:cs typeface="+mn-cs"/>
            </a:rPr>
            <a:t> maladie  - pour l'agent contractuel (justifiant de 3 ans de service continue) atteint d'une maladie nécessitant un traitement à caractère invalidant et grave - Durée : 1 an à plein traitement ; 2 ans à demi-traitement</a:t>
          </a:r>
        </a:p>
        <a:p>
          <a:pPr marL="0" marR="0" lvl="0" indent="0" defTabSz="914400" eaLnBrk="1" fontAlgn="auto" latinLnBrk="0" hangingPunct="1">
            <a:lnSpc>
              <a:spcPct val="100000"/>
            </a:lnSpc>
            <a:spcBef>
              <a:spcPts val="0"/>
            </a:spcBef>
            <a:spcAft>
              <a:spcPts val="0"/>
            </a:spcAft>
            <a:buClrTx/>
            <a:buSzTx/>
            <a:buFontTx/>
            <a:buNone/>
            <a:tabLst/>
            <a:defRPr/>
          </a:pPr>
          <a:r>
            <a:rPr lang="fr-FR" sz="800" b="0" baseline="0">
              <a:solidFill>
                <a:schemeClr val="bg1">
                  <a:lumMod val="50000"/>
                </a:schemeClr>
              </a:solidFill>
              <a:latin typeface="Calibri" pitchFamily="34" charset="0"/>
              <a:ea typeface="+mn-ea"/>
              <a:cs typeface="+mn-cs"/>
            </a:rPr>
            <a:t>AT : Accident de travail  incluant l'accident de trajet - Maintien du plein traitement durant les arrêts et p</a:t>
          </a:r>
          <a:r>
            <a:rPr kumimoji="0" lang="fr-FR" sz="800" b="0" i="0" u="none" strike="noStrike" kern="0" cap="none" spc="0" normalizeH="0" baseline="0" noProof="0">
              <a:ln>
                <a:noFill/>
              </a:ln>
              <a:solidFill>
                <a:schemeClr val="bg1">
                  <a:lumMod val="50000"/>
                </a:schemeClr>
              </a:solidFill>
              <a:effectLst/>
              <a:uLnTx/>
              <a:uFillTx/>
              <a:latin typeface="Calibri" pitchFamily="34" charset="0"/>
              <a:ea typeface="+mn-ea"/>
              <a:cs typeface="+mn-cs"/>
            </a:rPr>
            <a:t>rise en charge des  frais médicaux en cas de soins</a:t>
          </a:r>
        </a:p>
        <a:p>
          <a:r>
            <a:rPr lang="fr-FR" sz="800" b="0" baseline="0">
              <a:solidFill>
                <a:schemeClr val="bg1">
                  <a:lumMod val="50000"/>
                </a:schemeClr>
              </a:solidFill>
              <a:latin typeface="Calibri" pitchFamily="34" charset="0"/>
              <a:ea typeface="+mn-ea"/>
              <a:cs typeface="+mn-cs"/>
            </a:rPr>
            <a:t>M.Prof. : Maladie professionnelle - maladie contractée dans l'exercice de ses fonctions et figurant généralement dans les tableaux des affections  - Maintien du plein traitement et prise en charge des frais médicaux </a:t>
          </a:r>
          <a:endParaRPr lang="fr-FR" sz="800" b="0">
            <a:solidFill>
              <a:schemeClr val="bg1">
                <a:lumMod val="50000"/>
              </a:schemeClr>
            </a:solidFill>
            <a:latin typeface="Calibri" pitchFamily="34"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152400</xdr:colOff>
      <xdr:row>25</xdr:row>
      <xdr:rowOff>19222</xdr:rowOff>
    </xdr:from>
    <xdr:to>
      <xdr:col>12</xdr:col>
      <xdr:colOff>539115</xdr:colOff>
      <xdr:row>39</xdr:row>
      <xdr:rowOff>9525</xdr:rowOff>
    </xdr:to>
    <xdr:sp macro="" textlink="">
      <xdr:nvSpPr>
        <xdr:cNvPr id="8" name="Text Box 8">
          <a:extLst>
            <a:ext uri="{FF2B5EF4-FFF2-40B4-BE49-F238E27FC236}">
              <a16:creationId xmlns:a16="http://schemas.microsoft.com/office/drawing/2014/main" id="{00000000-0008-0000-0400-000008000000}"/>
            </a:ext>
          </a:extLst>
        </xdr:cNvPr>
        <xdr:cNvSpPr txBox="1">
          <a:spLocks noChangeArrowheads="1"/>
        </xdr:cNvSpPr>
      </xdr:nvSpPr>
      <xdr:spPr bwMode="auto">
        <a:xfrm>
          <a:off x="6838950" y="4048297"/>
          <a:ext cx="3606165" cy="1990553"/>
        </a:xfrm>
        <a:prstGeom prst="rect">
          <a:avLst/>
        </a:prstGeom>
        <a:solidFill>
          <a:srgbClr val="FFFFFF"/>
        </a:solidFill>
        <a:ln w="9525">
          <a:noFill/>
          <a:miter lim="800000"/>
          <a:headEnd/>
          <a:tailEnd/>
        </a:ln>
      </xdr:spPr>
      <xdr:txBody>
        <a:bodyPr vertOverflow="clip" wrap="square" lIns="27432" tIns="22860" rIns="0" bIns="0" anchor="t" upright="1"/>
        <a:lstStyle/>
        <a:p>
          <a:pPr algn="r" rtl="0">
            <a:defRPr sz="1000"/>
          </a:pPr>
          <a:r>
            <a:rPr lang="fr-FR" sz="1600">
              <a:solidFill>
                <a:schemeClr val="bg1">
                  <a:lumMod val="50000"/>
                </a:schemeClr>
              </a:solidFill>
              <a:latin typeface="Calibri" pitchFamily="34" charset="0"/>
              <a:ea typeface="+mn-ea"/>
              <a:cs typeface="+mn-cs"/>
            </a:rPr>
            <a:t>  </a:t>
          </a:r>
          <a:r>
            <a:rPr lang="fr-FR" sz="1600">
              <a:solidFill>
                <a:srgbClr val="00B050"/>
              </a:solidFill>
              <a:latin typeface="Calibri" pitchFamily="34" charset="0"/>
              <a:ea typeface="+mn-ea"/>
              <a:cs typeface="+mn-cs"/>
            </a:rPr>
            <a:t>61</a:t>
          </a:r>
          <a:r>
            <a:rPr lang="fr-FR" sz="16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d'enseignants titulaires </a:t>
          </a:r>
        </a:p>
        <a:p>
          <a:pPr algn="r" rtl="0">
            <a:defRPr sz="1000"/>
          </a:pPr>
          <a:r>
            <a:rPr lang="fr-FR" sz="1600">
              <a:solidFill>
                <a:srgbClr val="00B050"/>
              </a:solidFill>
              <a:latin typeface="Calibri" pitchFamily="34" charset="0"/>
              <a:ea typeface="+mn-ea"/>
              <a:cs typeface="+mn-cs"/>
            </a:rPr>
            <a:t>39</a:t>
          </a:r>
          <a:r>
            <a:rPr lang="fr-FR" sz="1600">
              <a:solidFill>
                <a:schemeClr val="bg1">
                  <a:lumMod val="50000"/>
                </a:schemeClr>
              </a:solidFill>
              <a:latin typeface="Calibri" pitchFamily="34" charset="0"/>
              <a:ea typeface="+mn-ea"/>
              <a:cs typeface="+mn-cs"/>
            </a:rPr>
            <a:t>%</a:t>
          </a:r>
          <a:r>
            <a:rPr lang="fr-FR" sz="1100">
              <a:solidFill>
                <a:schemeClr val="bg1">
                  <a:lumMod val="50000"/>
                </a:schemeClr>
              </a:solidFill>
              <a:latin typeface="Calibri" pitchFamily="34" charset="0"/>
              <a:ea typeface="+mn-ea"/>
              <a:cs typeface="+mn-cs"/>
            </a:rPr>
            <a:t> de personnels administratifs titulaires</a:t>
          </a:r>
        </a:p>
        <a:p>
          <a:pPr algn="r" rtl="0">
            <a:defRPr sz="1000"/>
          </a:pPr>
          <a:endParaRPr lang="fr-FR" sz="9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a:p>
          <a:pPr algn="r" rtl="0"/>
          <a:r>
            <a:rPr lang="fr-FR" sz="1100">
              <a:solidFill>
                <a:schemeClr val="bg1">
                  <a:lumMod val="50000"/>
                </a:schemeClr>
              </a:solidFill>
              <a:latin typeface="Calibri" pitchFamily="34" charset="0"/>
              <a:ea typeface="+mn-ea"/>
              <a:cs typeface="+mn-cs"/>
            </a:rPr>
            <a:t>Ratios Ministère</a:t>
          </a:r>
          <a:r>
            <a:rPr lang="fr-FR" sz="1100" baseline="0">
              <a:solidFill>
                <a:schemeClr val="bg1">
                  <a:lumMod val="50000"/>
                </a:schemeClr>
              </a:solidFill>
              <a:latin typeface="Calibri" pitchFamily="34" charset="0"/>
              <a:ea typeface="+mn-ea"/>
              <a:cs typeface="+mn-cs"/>
            </a:rPr>
            <a:t> de l'Enseignement Supérieur</a:t>
          </a:r>
          <a:endParaRPr lang="fr-FR" sz="1100">
            <a:solidFill>
              <a:schemeClr val="bg1">
                <a:lumMod val="50000"/>
              </a:schemeClr>
            </a:solidFill>
            <a:latin typeface="Calibri" pitchFamily="34" charset="0"/>
            <a:ea typeface="+mn-ea"/>
            <a:cs typeface="+mn-cs"/>
          </a:endParaRPr>
        </a:p>
        <a:p>
          <a:pPr marL="0" indent="0" algn="r" rtl="0"/>
          <a:r>
            <a:rPr lang="fr-FR" sz="1600">
              <a:solidFill>
                <a:srgbClr val="00B050"/>
              </a:solidFill>
              <a:latin typeface="Calibri" pitchFamily="34" charset="0"/>
              <a:ea typeface="+mn-ea"/>
              <a:cs typeface="+mn-cs"/>
            </a:rPr>
            <a:t>53</a:t>
          </a:r>
          <a:r>
            <a:rPr lang="fr-FR" sz="1600">
              <a:solidFill>
                <a:schemeClr val="bg1">
                  <a:lumMod val="50000"/>
                </a:schemeClr>
              </a:solidFill>
              <a:latin typeface="Calibri" pitchFamily="34" charset="0"/>
              <a:ea typeface="+mn-ea"/>
              <a:cs typeface="+mn-cs"/>
            </a:rPr>
            <a:t>%</a:t>
          </a:r>
          <a:r>
            <a:rPr lang="fr-FR" sz="1100">
              <a:solidFill>
                <a:schemeClr val="bg1">
                  <a:lumMod val="50000"/>
                </a:schemeClr>
              </a:solidFill>
              <a:latin typeface="Calibri" pitchFamily="34" charset="0"/>
              <a:ea typeface="+mn-ea"/>
              <a:cs typeface="+mn-cs"/>
            </a:rPr>
            <a:t> d'enseignants</a:t>
          </a:r>
        </a:p>
        <a:p>
          <a:pPr algn="r" rtl="0"/>
          <a:r>
            <a:rPr lang="fr-FR" sz="1600">
              <a:solidFill>
                <a:srgbClr val="00B050"/>
              </a:solidFill>
              <a:latin typeface="Calibri" pitchFamily="34" charset="0"/>
              <a:ea typeface="+mn-ea"/>
              <a:cs typeface="+mn-cs"/>
            </a:rPr>
            <a:t>47</a:t>
          </a:r>
          <a:r>
            <a:rPr lang="fr-FR" sz="1600">
              <a:solidFill>
                <a:schemeClr val="bg1">
                  <a:lumMod val="50000"/>
                </a:schemeClr>
              </a:solidFill>
              <a:latin typeface="Calibri" pitchFamily="34" charset="0"/>
              <a:ea typeface="+mn-ea"/>
              <a:cs typeface="+mn-cs"/>
            </a:rPr>
            <a:t>%</a:t>
          </a:r>
          <a:r>
            <a:rPr lang="fr-FR" sz="1100">
              <a:solidFill>
                <a:schemeClr val="bg1">
                  <a:lumMod val="50000"/>
                </a:schemeClr>
              </a:solidFill>
              <a:latin typeface="Calibri" pitchFamily="34" charset="0"/>
              <a:ea typeface="+mn-ea"/>
              <a:cs typeface="+mn-cs"/>
            </a:rPr>
            <a:t> de personnels BIATSS</a:t>
          </a:r>
        </a:p>
        <a:p>
          <a:pPr algn="r" rtl="0"/>
          <a:r>
            <a:rPr lang="fr-FR" sz="1100">
              <a:solidFill>
                <a:srgbClr val="FF0000"/>
              </a:solidFill>
              <a:latin typeface="Calibri" pitchFamily="34" charset="0"/>
              <a:ea typeface="+mn-ea"/>
              <a:cs typeface="+mn-cs"/>
            </a:rPr>
            <a:t> </a:t>
          </a:r>
        </a:p>
        <a:p>
          <a:pPr algn="r" rtl="0"/>
          <a:r>
            <a:rPr lang="fr-FR" sz="800" i="1">
              <a:solidFill>
                <a:schemeClr val="bg1">
                  <a:lumMod val="50000"/>
                </a:schemeClr>
              </a:solidFill>
              <a:latin typeface="Calibri" pitchFamily="34" charset="0"/>
              <a:ea typeface="+mn-ea"/>
              <a:cs typeface="+mn-cs"/>
            </a:rPr>
            <a:t>(source Bilan Social MESRI</a:t>
          </a:r>
          <a:r>
            <a:rPr lang="fr-FR" sz="800" i="1" baseline="0">
              <a:solidFill>
                <a:schemeClr val="bg1">
                  <a:lumMod val="50000"/>
                </a:schemeClr>
              </a:solidFill>
              <a:latin typeface="Calibri" pitchFamily="34" charset="0"/>
              <a:ea typeface="+mn-ea"/>
              <a:cs typeface="+mn-cs"/>
            </a:rPr>
            <a:t> </a:t>
          </a:r>
          <a:r>
            <a:rPr lang="fr-FR" sz="800" i="1" baseline="0">
              <a:solidFill>
                <a:srgbClr val="00B050"/>
              </a:solidFill>
              <a:latin typeface="Calibri" pitchFamily="34" charset="0"/>
              <a:ea typeface="+mn-ea"/>
              <a:cs typeface="+mn-cs"/>
            </a:rPr>
            <a:t>2019-2020</a:t>
          </a:r>
          <a:r>
            <a:rPr lang="fr-FR" sz="800" i="1">
              <a:solidFill>
                <a:schemeClr val="bg1">
                  <a:lumMod val="50000"/>
                </a:schemeClr>
              </a:solidFill>
              <a:latin typeface="Calibri" pitchFamily="34" charset="0"/>
              <a:ea typeface="+mn-ea"/>
              <a:cs typeface="+mn-cs"/>
            </a:rPr>
            <a:t>)</a:t>
          </a:r>
        </a:p>
        <a:p>
          <a:pPr algn="r" rtl="0">
            <a:defRPr sz="1000"/>
          </a:pPr>
          <a:endParaRPr lang="fr-FR" sz="11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xdr:txBody>
    </xdr:sp>
    <xdr:clientData/>
  </xdr:twoCellAnchor>
  <xdr:twoCellAnchor>
    <xdr:from>
      <xdr:col>7</xdr:col>
      <xdr:colOff>1114425</xdr:colOff>
      <xdr:row>0</xdr:row>
      <xdr:rowOff>209550</xdr:rowOff>
    </xdr:from>
    <xdr:to>
      <xdr:col>13</xdr:col>
      <xdr:colOff>487680</xdr:colOff>
      <xdr:row>22</xdr:row>
      <xdr:rowOff>53341</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129540</xdr:colOff>
      <xdr:row>112</xdr:row>
      <xdr:rowOff>127807</xdr:rowOff>
    </xdr:from>
    <xdr:to>
      <xdr:col>12</xdr:col>
      <xdr:colOff>243840</xdr:colOff>
      <xdr:row>126</xdr:row>
      <xdr:rowOff>121920</xdr:rowOff>
    </xdr:to>
    <xdr:sp macro="" textlink="">
      <xdr:nvSpPr>
        <xdr:cNvPr id="4" name="Text Box 8">
          <a:extLst>
            <a:ext uri="{FF2B5EF4-FFF2-40B4-BE49-F238E27FC236}">
              <a16:creationId xmlns:a16="http://schemas.microsoft.com/office/drawing/2014/main" id="{02125235-88A7-4D07-9E0F-58999B471CB9}"/>
            </a:ext>
          </a:extLst>
        </xdr:cNvPr>
        <xdr:cNvSpPr txBox="1">
          <a:spLocks noChangeArrowheads="1"/>
        </xdr:cNvSpPr>
      </xdr:nvSpPr>
      <xdr:spPr bwMode="auto">
        <a:xfrm>
          <a:off x="6343650" y="4198792"/>
          <a:ext cx="3400425" cy="1859108"/>
        </a:xfrm>
        <a:prstGeom prst="rect">
          <a:avLst/>
        </a:prstGeom>
        <a:solidFill>
          <a:srgbClr val="FFFFFF"/>
        </a:solidFill>
        <a:ln w="9525">
          <a:noFill/>
          <a:miter lim="800000"/>
          <a:headEnd/>
          <a:tailEnd/>
        </a:ln>
      </xdr:spPr>
      <xdr:txBody>
        <a:bodyPr vertOverflow="clip" wrap="square" lIns="27432" tIns="22860" rIns="0" bIns="0" anchor="t" upright="1"/>
        <a:lstStyle/>
        <a:p>
          <a:pPr algn="r" rtl="0">
            <a:defRPr sz="1000"/>
          </a:pPr>
          <a:r>
            <a:rPr lang="fr-FR" sz="1600">
              <a:solidFill>
                <a:schemeClr val="bg1">
                  <a:lumMod val="50000"/>
                </a:schemeClr>
              </a:solidFill>
              <a:latin typeface="Calibri" pitchFamily="34" charset="0"/>
              <a:ea typeface="+mn-ea"/>
              <a:cs typeface="+mn-cs"/>
            </a:rPr>
            <a:t>  </a:t>
          </a:r>
          <a:r>
            <a:rPr lang="fr-FR" sz="1600">
              <a:solidFill>
                <a:srgbClr val="FF0000"/>
              </a:solidFill>
              <a:latin typeface="Calibri" pitchFamily="34" charset="0"/>
              <a:ea typeface="+mn-ea"/>
              <a:cs typeface="+mn-cs"/>
            </a:rPr>
            <a:t>60</a:t>
          </a:r>
          <a:r>
            <a:rPr lang="fr-FR" sz="16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d'enseignants titulaires </a:t>
          </a:r>
        </a:p>
        <a:p>
          <a:pPr algn="r" rtl="0">
            <a:defRPr sz="1000"/>
          </a:pPr>
          <a:r>
            <a:rPr lang="fr-FR" sz="1600">
              <a:solidFill>
                <a:srgbClr val="FF0000"/>
              </a:solidFill>
              <a:latin typeface="Calibri" pitchFamily="34" charset="0"/>
              <a:ea typeface="+mn-ea"/>
              <a:cs typeface="+mn-cs"/>
            </a:rPr>
            <a:t>40</a:t>
          </a:r>
          <a:r>
            <a:rPr lang="fr-FR" sz="1600">
              <a:solidFill>
                <a:schemeClr val="bg1">
                  <a:lumMod val="50000"/>
                </a:schemeClr>
              </a:solidFill>
              <a:latin typeface="Calibri" pitchFamily="34" charset="0"/>
              <a:ea typeface="+mn-ea"/>
              <a:cs typeface="+mn-cs"/>
            </a:rPr>
            <a:t>%</a:t>
          </a:r>
          <a:r>
            <a:rPr lang="fr-FR" sz="1100">
              <a:solidFill>
                <a:schemeClr val="bg1">
                  <a:lumMod val="50000"/>
                </a:schemeClr>
              </a:solidFill>
              <a:latin typeface="Calibri" pitchFamily="34" charset="0"/>
              <a:ea typeface="+mn-ea"/>
              <a:cs typeface="+mn-cs"/>
            </a:rPr>
            <a:t> de personnels administratifs titulaires</a:t>
          </a:r>
        </a:p>
        <a:p>
          <a:pPr algn="r" rtl="0">
            <a:defRPr sz="1000"/>
          </a:pPr>
          <a:endParaRPr lang="fr-FR" sz="9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a:p>
          <a:pPr algn="r" rtl="0"/>
          <a:r>
            <a:rPr lang="fr-FR" sz="1100">
              <a:solidFill>
                <a:srgbClr val="FF0000"/>
              </a:solidFill>
              <a:latin typeface="Calibri" pitchFamily="34" charset="0"/>
              <a:ea typeface="+mn-ea"/>
              <a:cs typeface="+mn-cs"/>
            </a:rPr>
            <a:t>Ratios Ministère</a:t>
          </a:r>
          <a:r>
            <a:rPr lang="fr-FR" sz="1100" baseline="0">
              <a:solidFill>
                <a:srgbClr val="FF0000"/>
              </a:solidFill>
              <a:latin typeface="Calibri" pitchFamily="34" charset="0"/>
              <a:ea typeface="+mn-ea"/>
              <a:cs typeface="+mn-cs"/>
            </a:rPr>
            <a:t> de l'Enseignement Supérieur</a:t>
          </a:r>
          <a:endParaRPr lang="fr-FR" sz="1100">
            <a:solidFill>
              <a:srgbClr val="FF0000"/>
            </a:solidFill>
            <a:latin typeface="Calibri" pitchFamily="34" charset="0"/>
            <a:ea typeface="+mn-ea"/>
            <a:cs typeface="+mn-cs"/>
          </a:endParaRPr>
        </a:p>
        <a:p>
          <a:pPr marL="0" indent="0" algn="r" rtl="0"/>
          <a:r>
            <a:rPr lang="fr-FR" sz="1600">
              <a:solidFill>
                <a:srgbClr val="FF0000"/>
              </a:solidFill>
              <a:latin typeface="Calibri" pitchFamily="34" charset="0"/>
              <a:ea typeface="+mn-ea"/>
              <a:cs typeface="+mn-cs"/>
            </a:rPr>
            <a:t>54%</a:t>
          </a:r>
          <a:r>
            <a:rPr lang="fr-FR" sz="1100">
              <a:solidFill>
                <a:srgbClr val="FF0000"/>
              </a:solidFill>
              <a:latin typeface="Calibri" pitchFamily="34" charset="0"/>
              <a:ea typeface="+mn-ea"/>
              <a:cs typeface="+mn-cs"/>
            </a:rPr>
            <a:t> d'enseignants</a:t>
          </a:r>
        </a:p>
        <a:p>
          <a:pPr algn="r" rtl="0"/>
          <a:r>
            <a:rPr lang="fr-FR" sz="1600">
              <a:solidFill>
                <a:srgbClr val="FF0000"/>
              </a:solidFill>
              <a:latin typeface="Calibri" pitchFamily="34" charset="0"/>
              <a:ea typeface="+mn-ea"/>
              <a:cs typeface="+mn-cs"/>
            </a:rPr>
            <a:t>46%</a:t>
          </a:r>
          <a:r>
            <a:rPr lang="fr-FR" sz="1100">
              <a:solidFill>
                <a:srgbClr val="FF0000"/>
              </a:solidFill>
              <a:latin typeface="Calibri" pitchFamily="34" charset="0"/>
              <a:ea typeface="+mn-ea"/>
              <a:cs typeface="+mn-cs"/>
            </a:rPr>
            <a:t> de personnels BIATSS</a:t>
          </a:r>
        </a:p>
        <a:p>
          <a:pPr algn="r" rtl="0"/>
          <a:r>
            <a:rPr lang="fr-FR" sz="1100">
              <a:solidFill>
                <a:srgbClr val="FF0000"/>
              </a:solidFill>
              <a:latin typeface="Calibri" pitchFamily="34" charset="0"/>
              <a:ea typeface="+mn-ea"/>
              <a:cs typeface="+mn-cs"/>
            </a:rPr>
            <a:t> </a:t>
          </a:r>
        </a:p>
        <a:p>
          <a:pPr algn="r" rtl="0"/>
          <a:r>
            <a:rPr lang="fr-FR" sz="800" i="1">
              <a:solidFill>
                <a:srgbClr val="FF0000"/>
              </a:solidFill>
              <a:latin typeface="Calibri" pitchFamily="34" charset="0"/>
              <a:ea typeface="+mn-ea"/>
              <a:cs typeface="+mn-cs"/>
            </a:rPr>
            <a:t>(source Bilan Social MESRI</a:t>
          </a:r>
          <a:r>
            <a:rPr lang="fr-FR" sz="800" i="1" baseline="0">
              <a:solidFill>
                <a:srgbClr val="FF0000"/>
              </a:solidFill>
              <a:latin typeface="Calibri" pitchFamily="34" charset="0"/>
              <a:ea typeface="+mn-ea"/>
              <a:cs typeface="+mn-cs"/>
            </a:rPr>
            <a:t> 2017-2018</a:t>
          </a:r>
          <a:r>
            <a:rPr lang="fr-FR" sz="800" i="1">
              <a:solidFill>
                <a:srgbClr val="FF0000"/>
              </a:solidFill>
              <a:latin typeface="Calibri" pitchFamily="34" charset="0"/>
              <a:ea typeface="+mn-ea"/>
              <a:cs typeface="+mn-cs"/>
            </a:rPr>
            <a:t>)</a:t>
          </a:r>
        </a:p>
        <a:p>
          <a:pPr algn="r" rtl="0">
            <a:defRPr sz="1000"/>
          </a:pPr>
          <a:endParaRPr lang="fr-FR" sz="11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xdr:txBody>
    </xdr:sp>
    <xdr:clientData/>
  </xdr:twoCellAnchor>
  <xdr:twoCellAnchor>
    <xdr:from>
      <xdr:col>7</xdr:col>
      <xdr:colOff>1045845</xdr:colOff>
      <xdr:row>88</xdr:row>
      <xdr:rowOff>196214</xdr:rowOff>
    </xdr:from>
    <xdr:to>
      <xdr:col>13</xdr:col>
      <xdr:colOff>417195</xdr:colOff>
      <xdr:row>111</xdr:row>
      <xdr:rowOff>11430</xdr:rowOff>
    </xdr:to>
    <xdr:graphicFrame macro="">
      <xdr:nvGraphicFramePr>
        <xdr:cNvPr id="5" name="Graphique 4">
          <a:extLst>
            <a:ext uri="{FF2B5EF4-FFF2-40B4-BE49-F238E27FC236}">
              <a16:creationId xmlns:a16="http://schemas.microsoft.com/office/drawing/2014/main" id="{A727F87A-A938-4024-B90B-E2423B4CD1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7620</xdr:colOff>
      <xdr:row>127</xdr:row>
      <xdr:rowOff>0</xdr:rowOff>
    </xdr:from>
    <xdr:to>
      <xdr:col>10</xdr:col>
      <xdr:colOff>182880</xdr:colOff>
      <xdr:row>127</xdr:row>
      <xdr:rowOff>17145</xdr:rowOff>
    </xdr:to>
    <xdr:sp macro="" textlink="">
      <xdr:nvSpPr>
        <xdr:cNvPr id="6" name="Text Box 8">
          <a:extLst>
            <a:ext uri="{FF2B5EF4-FFF2-40B4-BE49-F238E27FC236}">
              <a16:creationId xmlns:a16="http://schemas.microsoft.com/office/drawing/2014/main" id="{01D4CDC9-959B-4C23-8FD9-022EF8414C46}"/>
            </a:ext>
          </a:extLst>
        </xdr:cNvPr>
        <xdr:cNvSpPr txBox="1">
          <a:spLocks noChangeArrowheads="1"/>
        </xdr:cNvSpPr>
      </xdr:nvSpPr>
      <xdr:spPr bwMode="auto">
        <a:xfrm>
          <a:off x="4779645" y="17684287"/>
          <a:ext cx="3537585" cy="1935308"/>
        </a:xfrm>
        <a:prstGeom prst="rect">
          <a:avLst/>
        </a:prstGeom>
        <a:solidFill>
          <a:srgbClr val="FFFFFF"/>
        </a:solidFill>
        <a:ln w="9525">
          <a:noFill/>
          <a:miter lim="800000"/>
          <a:headEnd/>
          <a:tailEnd/>
        </a:ln>
      </xdr:spPr>
      <xdr:txBody>
        <a:bodyPr vertOverflow="clip" wrap="square" lIns="27432" tIns="22860" rIns="0" bIns="0" anchor="t" upright="1"/>
        <a:lstStyle/>
        <a:p>
          <a:pPr algn="r" rtl="0">
            <a:defRPr sz="1000"/>
          </a:pPr>
          <a:r>
            <a:rPr lang="fr-FR" sz="1600">
              <a:solidFill>
                <a:schemeClr val="bg1">
                  <a:lumMod val="50000"/>
                </a:schemeClr>
              </a:solidFill>
              <a:latin typeface="Calibri" pitchFamily="34" charset="0"/>
              <a:ea typeface="+mn-ea"/>
              <a:cs typeface="+mn-cs"/>
            </a:rPr>
            <a:t>  59% </a:t>
          </a:r>
          <a:r>
            <a:rPr lang="fr-FR" sz="1100">
              <a:solidFill>
                <a:schemeClr val="bg1">
                  <a:lumMod val="50000"/>
                </a:schemeClr>
              </a:solidFill>
              <a:latin typeface="Calibri" pitchFamily="34" charset="0"/>
              <a:ea typeface="+mn-ea"/>
              <a:cs typeface="+mn-cs"/>
            </a:rPr>
            <a:t>d'enseignants titulaires </a:t>
          </a:r>
        </a:p>
        <a:p>
          <a:pPr algn="r" rtl="0">
            <a:defRPr sz="1000"/>
          </a:pPr>
          <a:r>
            <a:rPr lang="fr-FR" sz="1600">
              <a:solidFill>
                <a:schemeClr val="bg1">
                  <a:lumMod val="50000"/>
                </a:schemeClr>
              </a:solidFill>
              <a:latin typeface="Calibri" pitchFamily="34" charset="0"/>
              <a:ea typeface="+mn-ea"/>
              <a:cs typeface="+mn-cs"/>
            </a:rPr>
            <a:t>41%</a:t>
          </a:r>
          <a:r>
            <a:rPr lang="fr-FR" sz="1100">
              <a:solidFill>
                <a:schemeClr val="bg1">
                  <a:lumMod val="50000"/>
                </a:schemeClr>
              </a:solidFill>
              <a:latin typeface="Calibri" pitchFamily="34" charset="0"/>
              <a:ea typeface="+mn-ea"/>
              <a:cs typeface="+mn-cs"/>
            </a:rPr>
            <a:t> de personnels administratifs titulaires</a:t>
          </a:r>
        </a:p>
        <a:p>
          <a:pPr algn="r" rtl="0">
            <a:defRPr sz="1000"/>
          </a:pPr>
          <a:endParaRPr lang="fr-FR" sz="9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a:p>
          <a:pPr algn="r" rtl="0"/>
          <a:r>
            <a:rPr lang="fr-FR" sz="1100">
              <a:solidFill>
                <a:schemeClr val="bg1">
                  <a:lumMod val="50000"/>
                </a:schemeClr>
              </a:solidFill>
              <a:latin typeface="Calibri" pitchFamily="34" charset="0"/>
              <a:ea typeface="+mn-ea"/>
              <a:cs typeface="+mn-cs"/>
            </a:rPr>
            <a:t>Ratios établissements de même typologie</a:t>
          </a:r>
        </a:p>
        <a:p>
          <a:pPr marL="0" indent="0" algn="r" rtl="0"/>
          <a:r>
            <a:rPr lang="fr-FR" sz="1600">
              <a:solidFill>
                <a:schemeClr val="bg1">
                  <a:lumMod val="50000"/>
                </a:schemeClr>
              </a:solidFill>
              <a:latin typeface="Calibri" pitchFamily="34" charset="0"/>
              <a:ea typeface="+mn-ea"/>
              <a:cs typeface="+mn-cs"/>
            </a:rPr>
            <a:t>59%</a:t>
          </a:r>
          <a:r>
            <a:rPr lang="fr-FR" sz="1100">
              <a:solidFill>
                <a:schemeClr val="bg1">
                  <a:lumMod val="50000"/>
                </a:schemeClr>
              </a:solidFill>
              <a:latin typeface="Calibri" pitchFamily="34" charset="0"/>
              <a:ea typeface="+mn-ea"/>
              <a:cs typeface="+mn-cs"/>
            </a:rPr>
            <a:t> d'enseignants</a:t>
          </a:r>
        </a:p>
        <a:p>
          <a:pPr algn="r" rtl="0"/>
          <a:r>
            <a:rPr lang="fr-FR" sz="1600">
              <a:solidFill>
                <a:schemeClr val="bg1">
                  <a:lumMod val="50000"/>
                </a:schemeClr>
              </a:solidFill>
              <a:latin typeface="Calibri" pitchFamily="34" charset="0"/>
              <a:ea typeface="+mn-ea"/>
              <a:cs typeface="+mn-cs"/>
            </a:rPr>
            <a:t>41%</a:t>
          </a:r>
          <a:r>
            <a:rPr lang="fr-FR" sz="1100">
              <a:solidFill>
                <a:schemeClr val="bg1">
                  <a:lumMod val="50000"/>
                </a:schemeClr>
              </a:solidFill>
              <a:latin typeface="Calibri" pitchFamily="34" charset="0"/>
              <a:ea typeface="+mn-ea"/>
              <a:cs typeface="+mn-cs"/>
            </a:rPr>
            <a:t> de personnels BIATSS</a:t>
          </a:r>
        </a:p>
        <a:p>
          <a:pPr algn="r" rtl="0"/>
          <a:r>
            <a:rPr lang="fr-FR" sz="1100">
              <a:solidFill>
                <a:schemeClr val="bg1">
                  <a:lumMod val="50000"/>
                </a:schemeClr>
              </a:solidFill>
              <a:latin typeface="Calibri" pitchFamily="34" charset="0"/>
              <a:ea typeface="+mn-ea"/>
              <a:cs typeface="+mn-cs"/>
            </a:rPr>
            <a:t> </a:t>
          </a:r>
        </a:p>
        <a:p>
          <a:pPr algn="r" rtl="0"/>
          <a:r>
            <a:rPr lang="fr-FR" sz="800" i="1">
              <a:solidFill>
                <a:schemeClr val="bg1">
                  <a:lumMod val="50000"/>
                </a:schemeClr>
              </a:solidFill>
              <a:latin typeface="Calibri" pitchFamily="34" charset="0"/>
              <a:ea typeface="+mn-ea"/>
              <a:cs typeface="+mn-cs"/>
            </a:rPr>
            <a:t>(source portail</a:t>
          </a:r>
          <a:r>
            <a:rPr lang="fr-FR" sz="800" i="1" baseline="0">
              <a:solidFill>
                <a:schemeClr val="bg1">
                  <a:lumMod val="50000"/>
                </a:schemeClr>
              </a:solidFill>
              <a:latin typeface="Calibri" pitchFamily="34" charset="0"/>
              <a:ea typeface="+mn-ea"/>
              <a:cs typeface="+mn-cs"/>
            </a:rPr>
            <a:t> PERSE 2016</a:t>
          </a:r>
          <a:r>
            <a:rPr lang="fr-FR" sz="800" i="1">
              <a:solidFill>
                <a:schemeClr val="bg1">
                  <a:lumMod val="50000"/>
                </a:schemeClr>
              </a:solidFill>
              <a:latin typeface="Calibri" pitchFamily="34" charset="0"/>
              <a:ea typeface="+mn-ea"/>
              <a:cs typeface="+mn-cs"/>
            </a:rPr>
            <a:t>)</a:t>
          </a:r>
        </a:p>
        <a:p>
          <a:pPr algn="r" rtl="0">
            <a:defRPr sz="1000"/>
          </a:pPr>
          <a:endParaRPr lang="fr-FR" sz="11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xdr:txBody>
    </xdr:sp>
    <xdr:clientData/>
  </xdr:twoCellAnchor>
  <xdr:twoCellAnchor>
    <xdr:from>
      <xdr:col>9</xdr:col>
      <xdr:colOff>148590</xdr:colOff>
      <xdr:row>71</xdr:row>
      <xdr:rowOff>13507</xdr:rowOff>
    </xdr:from>
    <xdr:to>
      <xdr:col>12</xdr:col>
      <xdr:colOff>520065</xdr:colOff>
      <xdr:row>85</xdr:row>
      <xdr:rowOff>7620</xdr:rowOff>
    </xdr:to>
    <xdr:sp macro="" textlink="">
      <xdr:nvSpPr>
        <xdr:cNvPr id="9" name="Text Box 8">
          <a:extLst>
            <a:ext uri="{FF2B5EF4-FFF2-40B4-BE49-F238E27FC236}">
              <a16:creationId xmlns:a16="http://schemas.microsoft.com/office/drawing/2014/main" id="{601BA2CA-57B8-4381-A142-F9058DB2A617}"/>
            </a:ext>
          </a:extLst>
        </xdr:cNvPr>
        <xdr:cNvSpPr txBox="1">
          <a:spLocks noChangeArrowheads="1"/>
        </xdr:cNvSpPr>
      </xdr:nvSpPr>
      <xdr:spPr bwMode="auto">
        <a:xfrm>
          <a:off x="6835140" y="11443507"/>
          <a:ext cx="3590925" cy="1994363"/>
        </a:xfrm>
        <a:prstGeom prst="rect">
          <a:avLst/>
        </a:prstGeom>
        <a:solidFill>
          <a:srgbClr val="FFFFFF"/>
        </a:solidFill>
        <a:ln w="9525">
          <a:noFill/>
          <a:miter lim="800000"/>
          <a:headEnd/>
          <a:tailEnd/>
        </a:ln>
      </xdr:spPr>
      <xdr:txBody>
        <a:bodyPr vertOverflow="clip" wrap="square" lIns="27432" tIns="22860" rIns="0" bIns="0" anchor="t" upright="1"/>
        <a:lstStyle/>
        <a:p>
          <a:pPr algn="r" rtl="0">
            <a:defRPr sz="1000"/>
          </a:pPr>
          <a:r>
            <a:rPr lang="fr-FR" sz="1600">
              <a:solidFill>
                <a:schemeClr val="bg1">
                  <a:lumMod val="50000"/>
                </a:schemeClr>
              </a:solidFill>
              <a:latin typeface="Calibri" pitchFamily="34" charset="0"/>
              <a:ea typeface="+mn-ea"/>
              <a:cs typeface="+mn-cs"/>
            </a:rPr>
            <a:t>  61% </a:t>
          </a:r>
          <a:r>
            <a:rPr lang="fr-FR" sz="1100">
              <a:solidFill>
                <a:schemeClr val="bg1">
                  <a:lumMod val="50000"/>
                </a:schemeClr>
              </a:solidFill>
              <a:latin typeface="Calibri" pitchFamily="34" charset="0"/>
              <a:ea typeface="+mn-ea"/>
              <a:cs typeface="+mn-cs"/>
            </a:rPr>
            <a:t>d'enseignants titulaires </a:t>
          </a:r>
        </a:p>
        <a:p>
          <a:pPr algn="r" rtl="0">
            <a:defRPr sz="1000"/>
          </a:pPr>
          <a:r>
            <a:rPr lang="fr-FR" sz="1600">
              <a:solidFill>
                <a:schemeClr val="bg1">
                  <a:lumMod val="50000"/>
                </a:schemeClr>
              </a:solidFill>
              <a:latin typeface="Calibri" pitchFamily="34" charset="0"/>
              <a:ea typeface="+mn-ea"/>
              <a:cs typeface="+mn-cs"/>
            </a:rPr>
            <a:t>39%</a:t>
          </a:r>
          <a:r>
            <a:rPr lang="fr-FR" sz="1100">
              <a:solidFill>
                <a:schemeClr val="bg1">
                  <a:lumMod val="50000"/>
                </a:schemeClr>
              </a:solidFill>
              <a:latin typeface="Calibri" pitchFamily="34" charset="0"/>
              <a:ea typeface="+mn-ea"/>
              <a:cs typeface="+mn-cs"/>
            </a:rPr>
            <a:t> de personnels administratifs titulaires</a:t>
          </a:r>
        </a:p>
        <a:p>
          <a:pPr algn="r" rtl="0">
            <a:defRPr sz="1000"/>
          </a:pPr>
          <a:endParaRPr lang="fr-FR" sz="9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a:p>
          <a:pPr algn="r" rtl="0"/>
          <a:r>
            <a:rPr lang="fr-FR" sz="1100">
              <a:solidFill>
                <a:schemeClr val="bg1">
                  <a:lumMod val="50000"/>
                </a:schemeClr>
              </a:solidFill>
              <a:latin typeface="Calibri" pitchFamily="34" charset="0"/>
              <a:ea typeface="+mn-ea"/>
              <a:cs typeface="+mn-cs"/>
            </a:rPr>
            <a:t>Ratios Ministère</a:t>
          </a:r>
          <a:r>
            <a:rPr lang="fr-FR" sz="1100" baseline="0">
              <a:solidFill>
                <a:schemeClr val="bg1">
                  <a:lumMod val="50000"/>
                </a:schemeClr>
              </a:solidFill>
              <a:latin typeface="Calibri" pitchFamily="34" charset="0"/>
              <a:ea typeface="+mn-ea"/>
              <a:cs typeface="+mn-cs"/>
            </a:rPr>
            <a:t> de l'Enseignement Supérieur</a:t>
          </a:r>
          <a:endParaRPr lang="fr-FR" sz="1100">
            <a:solidFill>
              <a:schemeClr val="bg1">
                <a:lumMod val="50000"/>
              </a:schemeClr>
            </a:solidFill>
            <a:latin typeface="Calibri" pitchFamily="34" charset="0"/>
            <a:ea typeface="+mn-ea"/>
            <a:cs typeface="+mn-cs"/>
          </a:endParaRPr>
        </a:p>
        <a:p>
          <a:pPr marL="0" indent="0" algn="r" rtl="0"/>
          <a:r>
            <a:rPr lang="fr-FR" sz="1600">
              <a:solidFill>
                <a:schemeClr val="bg1">
                  <a:lumMod val="50000"/>
                </a:schemeClr>
              </a:solidFill>
              <a:latin typeface="Calibri" pitchFamily="34" charset="0"/>
              <a:ea typeface="+mn-ea"/>
              <a:cs typeface="+mn-cs"/>
            </a:rPr>
            <a:t>53%</a:t>
          </a:r>
          <a:r>
            <a:rPr lang="fr-FR" sz="1100">
              <a:solidFill>
                <a:schemeClr val="bg1">
                  <a:lumMod val="50000"/>
                </a:schemeClr>
              </a:solidFill>
              <a:latin typeface="Calibri" pitchFamily="34" charset="0"/>
              <a:ea typeface="+mn-ea"/>
              <a:cs typeface="+mn-cs"/>
            </a:rPr>
            <a:t> d'enseignants</a:t>
          </a:r>
        </a:p>
        <a:p>
          <a:pPr algn="r" rtl="0"/>
          <a:r>
            <a:rPr lang="fr-FR" sz="1600">
              <a:solidFill>
                <a:schemeClr val="bg1">
                  <a:lumMod val="50000"/>
                </a:schemeClr>
              </a:solidFill>
              <a:latin typeface="Calibri" pitchFamily="34" charset="0"/>
              <a:ea typeface="+mn-ea"/>
              <a:cs typeface="+mn-cs"/>
            </a:rPr>
            <a:t>47%</a:t>
          </a:r>
          <a:r>
            <a:rPr lang="fr-FR" sz="1100">
              <a:solidFill>
                <a:schemeClr val="bg1">
                  <a:lumMod val="50000"/>
                </a:schemeClr>
              </a:solidFill>
              <a:latin typeface="Calibri" pitchFamily="34" charset="0"/>
              <a:ea typeface="+mn-ea"/>
              <a:cs typeface="+mn-cs"/>
            </a:rPr>
            <a:t> de personnels BIATSS</a:t>
          </a:r>
        </a:p>
        <a:p>
          <a:pPr algn="r" rtl="0"/>
          <a:r>
            <a:rPr lang="fr-FR" sz="1100">
              <a:solidFill>
                <a:schemeClr val="bg1">
                  <a:lumMod val="50000"/>
                </a:schemeClr>
              </a:solidFill>
              <a:latin typeface="Calibri" pitchFamily="34" charset="0"/>
              <a:ea typeface="+mn-ea"/>
              <a:cs typeface="+mn-cs"/>
            </a:rPr>
            <a:t> </a:t>
          </a:r>
        </a:p>
        <a:p>
          <a:pPr algn="r" rtl="0"/>
          <a:r>
            <a:rPr lang="fr-FR" sz="800" i="1">
              <a:solidFill>
                <a:schemeClr val="bg1">
                  <a:lumMod val="50000"/>
                </a:schemeClr>
              </a:solidFill>
              <a:latin typeface="Calibri" pitchFamily="34" charset="0"/>
              <a:ea typeface="+mn-ea"/>
              <a:cs typeface="+mn-cs"/>
            </a:rPr>
            <a:t>(source Bilan Social MESRI</a:t>
          </a:r>
          <a:r>
            <a:rPr lang="fr-FR" sz="800" i="1" baseline="0">
              <a:solidFill>
                <a:schemeClr val="bg1">
                  <a:lumMod val="50000"/>
                </a:schemeClr>
              </a:solidFill>
              <a:latin typeface="Calibri" pitchFamily="34" charset="0"/>
              <a:ea typeface="+mn-ea"/>
              <a:cs typeface="+mn-cs"/>
            </a:rPr>
            <a:t> 2019-2017</a:t>
          </a:r>
          <a:r>
            <a:rPr lang="fr-FR" sz="800" i="1">
              <a:solidFill>
                <a:schemeClr val="bg1">
                  <a:lumMod val="50000"/>
                </a:schemeClr>
              </a:solidFill>
              <a:latin typeface="Calibri" pitchFamily="34" charset="0"/>
              <a:ea typeface="+mn-ea"/>
              <a:cs typeface="+mn-cs"/>
            </a:rPr>
            <a:t>)</a:t>
          </a:r>
        </a:p>
        <a:p>
          <a:pPr algn="r" rtl="0">
            <a:defRPr sz="1000"/>
          </a:pPr>
          <a:endParaRPr lang="fr-FR" sz="11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xdr:txBody>
    </xdr:sp>
    <xdr:clientData/>
  </xdr:twoCellAnchor>
  <xdr:twoCellAnchor>
    <xdr:from>
      <xdr:col>7</xdr:col>
      <xdr:colOff>950595</xdr:colOff>
      <xdr:row>45</xdr:row>
      <xdr:rowOff>186689</xdr:rowOff>
    </xdr:from>
    <xdr:to>
      <xdr:col>13</xdr:col>
      <xdr:colOff>314325</xdr:colOff>
      <xdr:row>68</xdr:row>
      <xdr:rowOff>1905</xdr:rowOff>
    </xdr:to>
    <xdr:graphicFrame macro="">
      <xdr:nvGraphicFramePr>
        <xdr:cNvPr id="10" name="Graphique 9">
          <a:extLst>
            <a:ext uri="{FF2B5EF4-FFF2-40B4-BE49-F238E27FC236}">
              <a16:creationId xmlns:a16="http://schemas.microsoft.com/office/drawing/2014/main" id="{56152930-E5D9-4B39-85CA-FD55BFE2EF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476250</xdr:colOff>
      <xdr:row>34</xdr:row>
      <xdr:rowOff>95250</xdr:rowOff>
    </xdr:from>
    <xdr:to>
      <xdr:col>16</xdr:col>
      <xdr:colOff>137160</xdr:colOff>
      <xdr:row>40</xdr:row>
      <xdr:rowOff>15240</xdr:rowOff>
    </xdr:to>
    <xdr:sp macro="" textlink="">
      <xdr:nvSpPr>
        <xdr:cNvPr id="2" name="ZoneTexte 1">
          <a:extLst>
            <a:ext uri="{FF2B5EF4-FFF2-40B4-BE49-F238E27FC236}">
              <a16:creationId xmlns:a16="http://schemas.microsoft.com/office/drawing/2014/main" id="{00000000-0008-0000-1F00-000002000000}"/>
            </a:ext>
          </a:extLst>
        </xdr:cNvPr>
        <xdr:cNvSpPr txBox="1"/>
      </xdr:nvSpPr>
      <xdr:spPr>
        <a:xfrm>
          <a:off x="7242810" y="4674870"/>
          <a:ext cx="1642110" cy="811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a:solidFill>
                <a:schemeClr val="bg1">
                  <a:lumMod val="50000"/>
                </a:schemeClr>
              </a:solidFill>
              <a:latin typeface="Calibri" panose="020F0502020204030204" pitchFamily="34" charset="0"/>
            </a:rPr>
            <a:t>Printemps : 20 mars </a:t>
          </a:r>
        </a:p>
        <a:p>
          <a:pPr algn="ctr"/>
          <a:r>
            <a:rPr lang="fr-FR" sz="1000">
              <a:solidFill>
                <a:schemeClr val="bg1">
                  <a:lumMod val="50000"/>
                </a:schemeClr>
              </a:solidFill>
              <a:latin typeface="Calibri" panose="020F0502020204030204" pitchFamily="34" charset="0"/>
            </a:rPr>
            <a:t>Eté : 20 juin </a:t>
          </a:r>
        </a:p>
        <a:p>
          <a:pPr algn="ctr"/>
          <a:r>
            <a:rPr lang="fr-FR" sz="1000">
              <a:solidFill>
                <a:schemeClr val="bg1">
                  <a:lumMod val="50000"/>
                </a:schemeClr>
              </a:solidFill>
              <a:latin typeface="Calibri" panose="020F0502020204030204" pitchFamily="34" charset="0"/>
            </a:rPr>
            <a:t>Automne :  22 septembre </a:t>
          </a:r>
        </a:p>
        <a:p>
          <a:pPr algn="ctr"/>
          <a:r>
            <a:rPr lang="fr-FR" sz="1000">
              <a:solidFill>
                <a:schemeClr val="bg1">
                  <a:lumMod val="50000"/>
                </a:schemeClr>
              </a:solidFill>
              <a:latin typeface="Calibri" panose="020F0502020204030204" pitchFamily="34" charset="0"/>
            </a:rPr>
            <a:t>Hiver : 21 décembre</a:t>
          </a:r>
        </a:p>
      </xdr:txBody>
    </xdr:sp>
    <xdr:clientData/>
  </xdr:twoCellAnchor>
  <xdr:twoCellAnchor>
    <xdr:from>
      <xdr:col>0</xdr:col>
      <xdr:colOff>0</xdr:colOff>
      <xdr:row>24</xdr:row>
      <xdr:rowOff>35984</xdr:rowOff>
    </xdr:from>
    <xdr:to>
      <xdr:col>13</xdr:col>
      <xdr:colOff>325120</xdr:colOff>
      <xdr:row>44</xdr:row>
      <xdr:rowOff>58844</xdr:rowOff>
    </xdr:to>
    <xdr:graphicFrame macro="">
      <xdr:nvGraphicFramePr>
        <xdr:cNvPr id="3" name="Graphique 2">
          <a:extLst>
            <a:ext uri="{FF2B5EF4-FFF2-40B4-BE49-F238E27FC236}">
              <a16:creationId xmlns:a16="http://schemas.microsoft.com/office/drawing/2014/main" id="{00000000-0008-0000-1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50377</xdr:rowOff>
    </xdr:from>
    <xdr:to>
      <xdr:col>13</xdr:col>
      <xdr:colOff>285750</xdr:colOff>
      <xdr:row>22</xdr:row>
      <xdr:rowOff>140335</xdr:rowOff>
    </xdr:to>
    <xdr:graphicFrame macro="">
      <xdr:nvGraphicFramePr>
        <xdr:cNvPr id="4" name="Graphique 3">
          <a:extLst>
            <a:ext uri="{FF2B5EF4-FFF2-40B4-BE49-F238E27FC236}">
              <a16:creationId xmlns:a16="http://schemas.microsoft.com/office/drawing/2014/main" id="{00000000-0008-0000-1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381000</xdr:colOff>
      <xdr:row>2</xdr:row>
      <xdr:rowOff>847</xdr:rowOff>
    </xdr:from>
    <xdr:to>
      <xdr:col>16</xdr:col>
      <xdr:colOff>297180</xdr:colOff>
      <xdr:row>28</xdr:row>
      <xdr:rowOff>76200</xdr:rowOff>
    </xdr:to>
    <xdr:sp macro="" textlink="">
      <xdr:nvSpPr>
        <xdr:cNvPr id="6" name="ZoneTexte 5">
          <a:extLst>
            <a:ext uri="{FF2B5EF4-FFF2-40B4-BE49-F238E27FC236}">
              <a16:creationId xmlns:a16="http://schemas.microsoft.com/office/drawing/2014/main" id="{00000000-0008-0000-1F00-000006000000}"/>
            </a:ext>
          </a:extLst>
        </xdr:cNvPr>
        <xdr:cNvSpPr txBox="1"/>
      </xdr:nvSpPr>
      <xdr:spPr>
        <a:xfrm>
          <a:off x="7096125" y="362797"/>
          <a:ext cx="1897380" cy="38282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solidFill>
                <a:srgbClr val="00B050"/>
              </a:solidFill>
              <a:latin typeface="Calibri" panose="020F0502020204030204" pitchFamily="34" charset="0"/>
              <a:ea typeface="+mn-ea"/>
              <a:cs typeface="+mn-cs"/>
            </a:rPr>
            <a:t>En 2022, le nombre d'arrêts (763) </a:t>
          </a:r>
          <a:r>
            <a:rPr lang="fr-FR" sz="1000" baseline="0">
              <a:solidFill>
                <a:srgbClr val="00B050"/>
              </a:solidFill>
              <a:latin typeface="Calibri" panose="020F0502020204030204" pitchFamily="34" charset="0"/>
              <a:ea typeface="+mn-ea"/>
              <a:cs typeface="+mn-cs"/>
            </a:rPr>
            <a:t>est en hausse par rapport à l'année précédente</a:t>
          </a:r>
          <a:r>
            <a:rPr lang="fr-FR" sz="1000">
              <a:solidFill>
                <a:srgbClr val="00B050"/>
              </a:solidFill>
              <a:latin typeface="Calibri" panose="020F0502020204030204" pitchFamily="34" charset="0"/>
              <a:ea typeface="+mn-ea"/>
              <a:cs typeface="+mn-cs"/>
            </a:rPr>
            <a:t> (532) comme celui du nombre d'agent ayant bénéficié</a:t>
          </a:r>
          <a:r>
            <a:rPr lang="fr-FR" sz="1000" baseline="0">
              <a:solidFill>
                <a:srgbClr val="00B050"/>
              </a:solidFill>
              <a:latin typeface="Calibri" panose="020F0502020204030204" pitchFamily="34" charset="0"/>
              <a:ea typeface="+mn-ea"/>
              <a:cs typeface="+mn-cs"/>
            </a:rPr>
            <a:t> d'un COM (430 contre 269 en 2021)</a:t>
          </a:r>
          <a:r>
            <a:rPr lang="fr-FR" sz="1000">
              <a:solidFill>
                <a:srgbClr val="00B050"/>
              </a:solidFill>
              <a:latin typeface="Calibri" panose="020F0502020204030204" pitchFamily="34" charset="0"/>
              <a:ea typeface="+mn-ea"/>
              <a:cs typeface="+mn-cs"/>
            </a:rPr>
            <a:t>.</a:t>
          </a:r>
        </a:p>
        <a:p>
          <a:pPr algn="ctr"/>
          <a:endParaRPr lang="fr-FR" sz="800">
            <a:solidFill>
              <a:schemeClr val="bg1">
                <a:lumMod val="50000"/>
              </a:schemeClr>
            </a:solidFill>
            <a:latin typeface="Calibri" panose="020F0502020204030204" pitchFamily="34" charset="0"/>
            <a:ea typeface="+mn-ea"/>
            <a:cs typeface="+mn-cs"/>
          </a:endParaRPr>
        </a:p>
        <a:p>
          <a:pPr algn="ctr"/>
          <a:r>
            <a:rPr lang="fr-FR" sz="1000" baseline="0">
              <a:solidFill>
                <a:srgbClr val="00B050"/>
              </a:solidFill>
              <a:latin typeface="Calibri" panose="020F0502020204030204" pitchFamily="34" charset="0"/>
              <a:ea typeface="+mn-ea"/>
              <a:cs typeface="+mn-cs"/>
            </a:rPr>
            <a:t>Le nombre d'agents cumulant plus de 50 jours d'arrêt répartis sur plusieurs congés a légèrement augmenté (47 contre 43 en 2021) mais représente 47% du total du nombre de jours de COM.</a:t>
          </a:r>
          <a:endParaRPr lang="fr-FR" sz="1000">
            <a:solidFill>
              <a:srgbClr val="00B050"/>
            </a:solidFill>
            <a:latin typeface="Calibri" panose="020F0502020204030204" pitchFamily="34" charset="0"/>
            <a:ea typeface="+mn-ea"/>
            <a:cs typeface="+mn-cs"/>
          </a:endParaRPr>
        </a:p>
        <a:p>
          <a:pPr algn="ctr"/>
          <a:endParaRPr lang="fr-FR" sz="800">
            <a:solidFill>
              <a:schemeClr val="bg1">
                <a:lumMod val="50000"/>
              </a:schemeClr>
            </a:solidFill>
            <a:latin typeface="Calibri" panose="020F0502020204030204" pitchFamily="34" charset="0"/>
            <a:ea typeface="+mn-ea"/>
            <a:cs typeface="+mn-cs"/>
          </a:endParaRPr>
        </a:p>
        <a:p>
          <a:pPr algn="ctr"/>
          <a:r>
            <a:rPr lang="fr-FR" sz="1000">
              <a:solidFill>
                <a:schemeClr val="bg1">
                  <a:lumMod val="50000"/>
                </a:schemeClr>
              </a:solidFill>
              <a:latin typeface="Calibri" panose="020F0502020204030204" pitchFamily="34" charset="0"/>
              <a:ea typeface="+mn-ea"/>
              <a:cs typeface="+mn-cs"/>
            </a:rPr>
            <a:t>Les congés de moins de 5 jours représentent </a:t>
          </a:r>
          <a:r>
            <a:rPr lang="fr-FR" sz="1800">
              <a:solidFill>
                <a:srgbClr val="00B050"/>
              </a:solidFill>
              <a:latin typeface="Calibri" panose="020F0502020204030204" pitchFamily="34" charset="0"/>
              <a:ea typeface="+mn-ea"/>
              <a:cs typeface="+mn-cs"/>
            </a:rPr>
            <a:t>21</a:t>
          </a:r>
          <a:r>
            <a:rPr lang="fr-FR" sz="1800">
              <a:solidFill>
                <a:schemeClr val="bg1">
                  <a:lumMod val="50000"/>
                </a:schemeClr>
              </a:solidFill>
              <a:latin typeface="Calibri" panose="020F0502020204030204" pitchFamily="34" charset="0"/>
              <a:ea typeface="+mn-ea"/>
              <a:cs typeface="+mn-cs"/>
            </a:rPr>
            <a:t>% </a:t>
          </a:r>
          <a:r>
            <a:rPr lang="fr-FR" sz="1000">
              <a:solidFill>
                <a:schemeClr val="bg1">
                  <a:lumMod val="50000"/>
                </a:schemeClr>
              </a:solidFill>
              <a:latin typeface="Calibri" panose="020F0502020204030204" pitchFamily="34" charset="0"/>
              <a:ea typeface="+mn-ea"/>
              <a:cs typeface="+mn-cs"/>
            </a:rPr>
            <a:t>du nombre total d'arrêts en </a:t>
          </a:r>
          <a:r>
            <a:rPr lang="fr-FR" sz="1400">
              <a:solidFill>
                <a:srgbClr val="00B050"/>
              </a:solidFill>
              <a:latin typeface="Calibri" panose="020F0502020204030204" pitchFamily="34" charset="0"/>
              <a:ea typeface="+mn-ea"/>
              <a:cs typeface="+mn-cs"/>
            </a:rPr>
            <a:t>2022</a:t>
          </a:r>
          <a:r>
            <a:rPr lang="fr-FR" sz="1000">
              <a:solidFill>
                <a:schemeClr val="bg1">
                  <a:lumMod val="50000"/>
                </a:schemeClr>
              </a:solidFill>
              <a:latin typeface="Calibri" panose="020F0502020204030204" pitchFamily="34" charset="0"/>
              <a:ea typeface="+mn-ea"/>
              <a:cs typeface="+mn-cs"/>
            </a:rPr>
            <a:t> </a:t>
          </a:r>
        </a:p>
        <a:p>
          <a:pPr algn="ctr"/>
          <a:r>
            <a:rPr lang="fr-FR" sz="1000">
              <a:solidFill>
                <a:schemeClr val="bg1">
                  <a:lumMod val="50000"/>
                </a:schemeClr>
              </a:solidFill>
              <a:latin typeface="Calibri" panose="020F0502020204030204" pitchFamily="34" charset="0"/>
              <a:ea typeface="+mn-ea"/>
              <a:cs typeface="+mn-cs"/>
            </a:rPr>
            <a:t>contre </a:t>
          </a:r>
          <a:r>
            <a:rPr lang="fr-FR" sz="1800">
              <a:solidFill>
                <a:schemeClr val="bg1">
                  <a:lumMod val="50000"/>
                </a:schemeClr>
              </a:solidFill>
              <a:latin typeface="Calibri" panose="020F0502020204030204" pitchFamily="34" charset="0"/>
              <a:ea typeface="+mn-ea"/>
              <a:cs typeface="+mn-cs"/>
            </a:rPr>
            <a:t>22%</a:t>
          </a:r>
          <a:r>
            <a:rPr lang="fr-FR" sz="1000">
              <a:solidFill>
                <a:schemeClr val="bg1">
                  <a:lumMod val="50000"/>
                </a:schemeClr>
              </a:solidFill>
              <a:latin typeface="Calibri" panose="020F0502020204030204" pitchFamily="34" charset="0"/>
              <a:ea typeface="+mn-ea"/>
              <a:cs typeface="+mn-cs"/>
            </a:rPr>
            <a:t> en </a:t>
          </a:r>
          <a:r>
            <a:rPr lang="fr-FR" sz="1400">
              <a:solidFill>
                <a:schemeClr val="bg1">
                  <a:lumMod val="50000"/>
                </a:schemeClr>
              </a:solidFill>
              <a:latin typeface="Calibri" panose="020F0502020204030204" pitchFamily="34" charset="0"/>
              <a:ea typeface="+mn-ea"/>
              <a:cs typeface="+mn-cs"/>
            </a:rPr>
            <a:t>2021</a:t>
          </a:r>
        </a:p>
        <a:p>
          <a:pPr algn="ctr"/>
          <a:r>
            <a:rPr lang="fr-FR" sz="1000">
              <a:solidFill>
                <a:schemeClr val="bg1">
                  <a:lumMod val="50000"/>
                </a:schemeClr>
              </a:solidFill>
              <a:latin typeface="Calibri" panose="020F0502020204030204" pitchFamily="34" charset="0"/>
              <a:ea typeface="+mn-ea"/>
              <a:cs typeface="+mn-cs"/>
            </a:rPr>
            <a:t>et</a:t>
          </a:r>
          <a:r>
            <a:rPr lang="fr-FR" sz="1400">
              <a:solidFill>
                <a:schemeClr val="bg1">
                  <a:lumMod val="50000"/>
                </a:schemeClr>
              </a:solidFill>
              <a:latin typeface="Calibri" panose="020F0502020204030204" pitchFamily="34" charset="0"/>
              <a:ea typeface="+mn-ea"/>
              <a:cs typeface="+mn-cs"/>
            </a:rPr>
            <a:t> </a:t>
          </a:r>
          <a:r>
            <a:rPr lang="fr-FR" sz="1800">
              <a:solidFill>
                <a:schemeClr val="bg1">
                  <a:lumMod val="50000"/>
                </a:schemeClr>
              </a:solidFill>
              <a:latin typeface="Calibri" panose="020F0502020204030204" pitchFamily="34" charset="0"/>
              <a:ea typeface="+mn-ea"/>
              <a:cs typeface="+mn-cs"/>
            </a:rPr>
            <a:t>25%</a:t>
          </a:r>
          <a:r>
            <a:rPr lang="fr-FR" sz="1400">
              <a:solidFill>
                <a:schemeClr val="bg1">
                  <a:lumMod val="50000"/>
                </a:schemeClr>
              </a:solidFill>
              <a:latin typeface="Calibri" panose="020F0502020204030204" pitchFamily="34" charset="0"/>
              <a:ea typeface="+mn-ea"/>
              <a:cs typeface="+mn-cs"/>
            </a:rPr>
            <a:t> </a:t>
          </a:r>
          <a:r>
            <a:rPr lang="fr-FR" sz="1000">
              <a:solidFill>
                <a:schemeClr val="bg1">
                  <a:lumMod val="50000"/>
                </a:schemeClr>
              </a:solidFill>
              <a:latin typeface="Calibri" panose="020F0502020204030204" pitchFamily="34" charset="0"/>
              <a:ea typeface="+mn-ea"/>
              <a:cs typeface="+mn-cs"/>
            </a:rPr>
            <a:t>en</a:t>
          </a:r>
          <a:r>
            <a:rPr lang="fr-FR" sz="1400">
              <a:solidFill>
                <a:schemeClr val="bg1">
                  <a:lumMod val="50000"/>
                </a:schemeClr>
              </a:solidFill>
              <a:latin typeface="Calibri" panose="020F0502020204030204" pitchFamily="34" charset="0"/>
              <a:ea typeface="+mn-ea"/>
              <a:cs typeface="+mn-cs"/>
            </a:rPr>
            <a:t> 2020.</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626745</xdr:colOff>
      <xdr:row>4</xdr:row>
      <xdr:rowOff>43814</xdr:rowOff>
    </xdr:from>
    <xdr:to>
      <xdr:col>6</xdr:col>
      <xdr:colOff>5715</xdr:colOff>
      <xdr:row>14</xdr:row>
      <xdr:rowOff>104775</xdr:rowOff>
    </xdr:to>
    <xdr:sp macro="" textlink="">
      <xdr:nvSpPr>
        <xdr:cNvPr id="5" name="ZoneTexte 4">
          <a:extLst>
            <a:ext uri="{FF2B5EF4-FFF2-40B4-BE49-F238E27FC236}">
              <a16:creationId xmlns:a16="http://schemas.microsoft.com/office/drawing/2014/main" id="{00000000-0008-0000-2000-000005000000}"/>
            </a:ext>
          </a:extLst>
        </xdr:cNvPr>
        <xdr:cNvSpPr txBox="1"/>
      </xdr:nvSpPr>
      <xdr:spPr>
        <a:xfrm>
          <a:off x="626745" y="710564"/>
          <a:ext cx="3360420" cy="1489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solidFill>
                <a:schemeClr val="bg1">
                  <a:lumMod val="50000"/>
                </a:schemeClr>
              </a:solidFill>
              <a:latin typeface="Calibri" panose="020F0502020204030204" pitchFamily="34" charset="0"/>
            </a:rPr>
            <a:t>Nombre de jours de temps partiel thérapeutique</a:t>
          </a:r>
        </a:p>
        <a:p>
          <a:endParaRPr lang="fr-FR" sz="1100">
            <a:solidFill>
              <a:schemeClr val="bg1">
                <a:lumMod val="50000"/>
              </a:schemeClr>
            </a:solidFill>
            <a:latin typeface="Calibri" panose="020F050202020403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2000" b="0">
              <a:solidFill>
                <a:srgbClr val="00B050"/>
              </a:solidFill>
              <a:latin typeface="Calibri" pitchFamily="34" charset="0"/>
              <a:ea typeface="+mn-ea"/>
              <a:cs typeface="+mn-cs"/>
            </a:rPr>
            <a:t>3744</a:t>
          </a:r>
          <a:r>
            <a:rPr lang="fr-FR" sz="2000" b="0">
              <a:solidFill>
                <a:srgbClr val="FF0000"/>
              </a:solidFill>
              <a:latin typeface="Calibri" pitchFamily="34" charset="0"/>
              <a:ea typeface="+mn-ea"/>
              <a:cs typeface="+mn-cs"/>
            </a:rPr>
            <a:t> </a:t>
          </a:r>
          <a:r>
            <a:rPr lang="fr-FR" sz="2000" b="0">
              <a:solidFill>
                <a:schemeClr val="bg1">
                  <a:lumMod val="50000"/>
                </a:schemeClr>
              </a:solidFill>
              <a:latin typeface="Calibri" pitchFamily="34" charset="0"/>
              <a:ea typeface="+mn-ea"/>
              <a:cs typeface="+mn-cs"/>
            </a:rPr>
            <a:t>jours en </a:t>
          </a:r>
          <a:r>
            <a:rPr lang="fr-FR" sz="2000" b="0">
              <a:solidFill>
                <a:srgbClr val="00B050"/>
              </a:solidFill>
              <a:latin typeface="Calibri" pitchFamily="34" charset="0"/>
              <a:ea typeface="+mn-ea"/>
              <a:cs typeface="+mn-cs"/>
            </a:rPr>
            <a:t>2022</a:t>
          </a:r>
        </a:p>
        <a:p>
          <a:pPr marL="0" marR="0" indent="0" algn="ctr" defTabSz="914400" eaLnBrk="1" fontAlgn="auto" latinLnBrk="0" hangingPunct="1">
            <a:lnSpc>
              <a:spcPct val="100000"/>
            </a:lnSpc>
            <a:spcBef>
              <a:spcPts val="0"/>
            </a:spcBef>
            <a:spcAft>
              <a:spcPts val="0"/>
            </a:spcAft>
            <a:buClrTx/>
            <a:buSzTx/>
            <a:buFontTx/>
            <a:buNone/>
            <a:tabLst/>
            <a:defRPr/>
          </a:pPr>
          <a:r>
            <a:rPr lang="fr-FR" sz="2000" b="0">
              <a:solidFill>
                <a:schemeClr val="bg1">
                  <a:lumMod val="50000"/>
                </a:schemeClr>
              </a:solidFill>
              <a:latin typeface="Calibri" pitchFamily="34" charset="0"/>
              <a:ea typeface="+mn-ea"/>
              <a:cs typeface="+mn-cs"/>
            </a:rPr>
            <a:t>2382 </a:t>
          </a:r>
          <a:r>
            <a:rPr lang="fr-FR" sz="1100" b="0">
              <a:solidFill>
                <a:schemeClr val="bg1">
                  <a:lumMod val="50000"/>
                </a:schemeClr>
              </a:solidFill>
              <a:latin typeface="Calibri" pitchFamily="34" charset="0"/>
              <a:ea typeface="+mn-ea"/>
              <a:cs typeface="+mn-cs"/>
            </a:rPr>
            <a:t>jours en</a:t>
          </a:r>
          <a:r>
            <a:rPr lang="fr-FR" sz="2000" b="0">
              <a:solidFill>
                <a:schemeClr val="bg1">
                  <a:lumMod val="50000"/>
                </a:schemeClr>
              </a:solidFill>
              <a:latin typeface="Calibri" pitchFamily="34" charset="0"/>
              <a:ea typeface="+mn-ea"/>
              <a:cs typeface="+mn-cs"/>
            </a:rPr>
            <a:t> 2021</a:t>
          </a:r>
        </a:p>
        <a:p>
          <a:pPr marL="0" marR="0" indent="0" algn="ctr" defTabSz="914400" eaLnBrk="1" fontAlgn="auto" latinLnBrk="0" hangingPunct="1">
            <a:lnSpc>
              <a:spcPct val="100000"/>
            </a:lnSpc>
            <a:spcBef>
              <a:spcPts val="0"/>
            </a:spcBef>
            <a:spcAft>
              <a:spcPts val="0"/>
            </a:spcAft>
            <a:buClrTx/>
            <a:buSzTx/>
            <a:buFontTx/>
            <a:buNone/>
            <a:tabLst/>
            <a:defRPr/>
          </a:pPr>
          <a:r>
            <a:rPr lang="fr-FR" sz="2000" b="0">
              <a:solidFill>
                <a:schemeClr val="bg1">
                  <a:lumMod val="50000"/>
                </a:schemeClr>
              </a:solidFill>
              <a:latin typeface="Calibri" pitchFamily="34" charset="0"/>
              <a:ea typeface="+mn-ea"/>
              <a:cs typeface="+mn-cs"/>
            </a:rPr>
            <a:t>2261 </a:t>
          </a:r>
          <a:r>
            <a:rPr lang="fr-FR" sz="1100">
              <a:solidFill>
                <a:schemeClr val="bg1">
                  <a:lumMod val="50000"/>
                </a:schemeClr>
              </a:solidFill>
              <a:latin typeface="Calibri" panose="020F0502020204030204" pitchFamily="34" charset="0"/>
              <a:ea typeface="+mn-ea"/>
              <a:cs typeface="+mn-cs"/>
            </a:rPr>
            <a:t>jours en </a:t>
          </a:r>
          <a:r>
            <a:rPr lang="fr-FR" sz="2000" b="0">
              <a:solidFill>
                <a:schemeClr val="bg1">
                  <a:lumMod val="50000"/>
                </a:schemeClr>
              </a:solidFill>
              <a:latin typeface="Calibri" pitchFamily="34" charset="0"/>
              <a:ea typeface="+mn-ea"/>
              <a:cs typeface="+mn-cs"/>
            </a:rPr>
            <a:t>2020</a:t>
          </a:r>
        </a:p>
      </xdr:txBody>
    </xdr:sp>
    <xdr:clientData/>
  </xdr:twoCellAnchor>
  <xdr:twoCellAnchor>
    <xdr:from>
      <xdr:col>2</xdr:col>
      <xdr:colOff>57150</xdr:colOff>
      <xdr:row>33</xdr:row>
      <xdr:rowOff>123826</xdr:rowOff>
    </xdr:from>
    <xdr:to>
      <xdr:col>10</xdr:col>
      <xdr:colOff>190500</xdr:colOff>
      <xdr:row>37</xdr:row>
      <xdr:rowOff>104775</xdr:rowOff>
    </xdr:to>
    <xdr:sp macro="" textlink="">
      <xdr:nvSpPr>
        <xdr:cNvPr id="2" name="ZoneTexte 1">
          <a:extLst>
            <a:ext uri="{FF2B5EF4-FFF2-40B4-BE49-F238E27FC236}">
              <a16:creationId xmlns:a16="http://schemas.microsoft.com/office/drawing/2014/main" id="{00000000-0008-0000-2000-000002000000}"/>
            </a:ext>
          </a:extLst>
        </xdr:cNvPr>
        <xdr:cNvSpPr txBox="1"/>
      </xdr:nvSpPr>
      <xdr:spPr>
        <a:xfrm>
          <a:off x="1428750" y="5181601"/>
          <a:ext cx="4486275" cy="552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fr-FR" sz="900">
              <a:solidFill>
                <a:schemeClr val="bg1">
                  <a:lumMod val="50000"/>
                </a:schemeClr>
              </a:solidFill>
              <a:effectLst/>
              <a:latin typeface="Calibri" panose="020F0502020204030204" pitchFamily="34" charset="0"/>
              <a:ea typeface="+mn-ea"/>
              <a:cs typeface="+mn-cs"/>
            </a:rPr>
            <a:t>A compter du 1ier juillet 2021, la durée du congé paternité passe à :</a:t>
          </a:r>
        </a:p>
        <a:p>
          <a:pPr lvl="0"/>
          <a:r>
            <a:rPr lang="fr-FR" sz="900">
              <a:solidFill>
                <a:schemeClr val="bg1">
                  <a:lumMod val="50000"/>
                </a:schemeClr>
              </a:solidFill>
              <a:effectLst/>
              <a:latin typeface="Calibri" panose="020F0502020204030204" pitchFamily="34" charset="0"/>
              <a:ea typeface="+mn-ea"/>
              <a:cs typeface="+mn-cs"/>
            </a:rPr>
            <a:t>25 jours calendaires répartis en 2 périodes distingues en cas de naissance unique,</a:t>
          </a:r>
        </a:p>
        <a:p>
          <a:pPr lvl="0"/>
          <a:r>
            <a:rPr lang="fr-FR" sz="900">
              <a:solidFill>
                <a:schemeClr val="bg1">
                  <a:lumMod val="50000"/>
                </a:schemeClr>
              </a:solidFill>
              <a:effectLst/>
              <a:latin typeface="Calibri" panose="020F0502020204030204" pitchFamily="34" charset="0"/>
              <a:ea typeface="+mn-ea"/>
              <a:cs typeface="+mn-cs"/>
            </a:rPr>
            <a:t>32 jours calendaires répartis en 2 périodes distingues en cas de naissances multiples.</a:t>
          </a:r>
        </a:p>
      </xdr:txBody>
    </xdr:sp>
    <xdr:clientData/>
  </xdr:twoCellAnchor>
  <xdr:twoCellAnchor>
    <xdr:from>
      <xdr:col>13</xdr:col>
      <xdr:colOff>371473</xdr:colOff>
      <xdr:row>38</xdr:row>
      <xdr:rowOff>49529</xdr:rowOff>
    </xdr:from>
    <xdr:to>
      <xdr:col>18</xdr:col>
      <xdr:colOff>190499</xdr:colOff>
      <xdr:row>47</xdr:row>
      <xdr:rowOff>9525</xdr:rowOff>
    </xdr:to>
    <xdr:sp macro="" textlink="">
      <xdr:nvSpPr>
        <xdr:cNvPr id="9" name="ZoneTexte 8">
          <a:extLst>
            <a:ext uri="{FF2B5EF4-FFF2-40B4-BE49-F238E27FC236}">
              <a16:creationId xmlns:a16="http://schemas.microsoft.com/office/drawing/2014/main" id="{00000000-0008-0000-2000-000009000000}"/>
            </a:ext>
          </a:extLst>
        </xdr:cNvPr>
        <xdr:cNvSpPr txBox="1"/>
      </xdr:nvSpPr>
      <xdr:spPr>
        <a:xfrm>
          <a:off x="7086598" y="6021704"/>
          <a:ext cx="2543176" cy="1255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200"/>
            </a:lnSpc>
          </a:pPr>
          <a:r>
            <a:rPr lang="fr-FR" sz="1000">
              <a:solidFill>
                <a:schemeClr val="bg1">
                  <a:lumMod val="50000"/>
                </a:schemeClr>
              </a:solidFill>
              <a:latin typeface="Calibri" panose="020F0502020204030204" pitchFamily="34" charset="0"/>
              <a:ea typeface="+mn-ea"/>
              <a:cs typeface="Calibri" panose="020F0502020204030204" pitchFamily="34" charset="0"/>
            </a:rPr>
            <a:t>En </a:t>
          </a:r>
          <a:r>
            <a:rPr lang="fr-FR" sz="1400">
              <a:solidFill>
                <a:srgbClr val="00B050"/>
              </a:solidFill>
              <a:latin typeface="Calibri" panose="020F0502020204030204" pitchFamily="34" charset="0"/>
              <a:ea typeface="+mn-ea"/>
              <a:cs typeface="Calibri" panose="020F0502020204030204" pitchFamily="34" charset="0"/>
            </a:rPr>
            <a:t>2022</a:t>
          </a:r>
        </a:p>
        <a:p>
          <a:pPr marL="0" indent="0" algn="l">
            <a:lnSpc>
              <a:spcPts val="1200"/>
            </a:lnSpc>
          </a:pPr>
          <a:endParaRPr lang="fr-FR" sz="14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rgbClr val="00B050"/>
              </a:solidFill>
              <a:latin typeface="Calibri" panose="020F0502020204030204" pitchFamily="34" charset="0"/>
              <a:ea typeface="+mn-ea"/>
              <a:cs typeface="Calibri" panose="020F0502020204030204" pitchFamily="34" charset="0"/>
            </a:rPr>
            <a:t>4</a:t>
          </a:r>
          <a:r>
            <a:rPr lang="fr-FR" sz="1400">
              <a:solidFill>
                <a:schemeClr val="bg1">
                  <a:lumMod val="50000"/>
                </a:schemeClr>
              </a:solidFill>
              <a:latin typeface="Calibri" panose="020F0502020204030204" pitchFamily="34" charset="0"/>
              <a:ea typeface="+mn-ea"/>
              <a:cs typeface="Calibri" panose="020F0502020204030204" pitchFamily="34" charset="0"/>
            </a:rPr>
            <a:t> </a:t>
          </a:r>
          <a:r>
            <a:rPr lang="fr-FR" sz="1000">
              <a:solidFill>
                <a:schemeClr val="bg1">
                  <a:lumMod val="50000"/>
                </a:schemeClr>
              </a:solidFill>
              <a:latin typeface="Calibri" panose="020F0502020204030204" pitchFamily="34" charset="0"/>
              <a:ea typeface="+mn-ea"/>
              <a:cs typeface="Calibri" panose="020F0502020204030204" pitchFamily="34" charset="0"/>
            </a:rPr>
            <a:t>préavis de grève</a:t>
          </a:r>
        </a:p>
        <a:p>
          <a:pPr marL="0" indent="0" algn="l">
            <a:lnSpc>
              <a:spcPts val="1200"/>
            </a:lnSpc>
          </a:pPr>
          <a:endParaRPr lang="fr-FR" sz="10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rgbClr val="00B050"/>
              </a:solidFill>
              <a:latin typeface="Calibri" panose="020F0502020204030204" pitchFamily="34" charset="0"/>
              <a:ea typeface="+mn-ea"/>
              <a:cs typeface="Calibri" panose="020F0502020204030204" pitchFamily="34" charset="0"/>
            </a:rPr>
            <a:t>46</a:t>
          </a:r>
          <a:r>
            <a:rPr lang="fr-FR" sz="1400">
              <a:solidFill>
                <a:schemeClr val="bg1">
                  <a:lumMod val="50000"/>
                </a:schemeClr>
              </a:solidFill>
              <a:latin typeface="Calibri" panose="020F0502020204030204" pitchFamily="34" charset="0"/>
              <a:ea typeface="+mn-ea"/>
              <a:cs typeface="Calibri" panose="020F0502020204030204" pitchFamily="34" charset="0"/>
            </a:rPr>
            <a:t> </a:t>
          </a:r>
          <a:r>
            <a:rPr lang="fr-FR" sz="1000">
              <a:solidFill>
                <a:schemeClr val="bg1">
                  <a:lumMod val="50000"/>
                </a:schemeClr>
              </a:solidFill>
              <a:latin typeface="Calibri" panose="020F0502020204030204" pitchFamily="34" charset="0"/>
              <a:ea typeface="+mn-ea"/>
              <a:cs typeface="Calibri" panose="020F0502020204030204" pitchFamily="34" charset="0"/>
            </a:rPr>
            <a:t>jours d'absence pour grève</a:t>
          </a:r>
        </a:p>
        <a:p>
          <a:pPr marL="0" indent="0" algn="l">
            <a:lnSpc>
              <a:spcPts val="1200"/>
            </a:lnSpc>
          </a:pPr>
          <a:endParaRPr lang="fr-FR" sz="10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rgbClr val="00B050"/>
              </a:solidFill>
              <a:latin typeface="Calibri" panose="020F0502020204030204" pitchFamily="34" charset="0"/>
              <a:ea typeface="+mn-ea"/>
              <a:cs typeface="Calibri" panose="020F0502020204030204" pitchFamily="34" charset="0"/>
            </a:rPr>
            <a:t>32</a:t>
          </a:r>
          <a:r>
            <a:rPr lang="fr-FR" sz="1000">
              <a:solidFill>
                <a:schemeClr val="bg1">
                  <a:lumMod val="50000"/>
                </a:schemeClr>
              </a:solidFill>
              <a:latin typeface="Calibri" panose="020F0502020204030204" pitchFamily="34" charset="0"/>
              <a:ea typeface="+mn-ea"/>
              <a:cs typeface="Calibri" panose="020F0502020204030204" pitchFamily="34" charset="0"/>
            </a:rPr>
            <a:t> agents grévistes dont </a:t>
          </a:r>
          <a:r>
            <a:rPr lang="fr-FR" sz="1200">
              <a:solidFill>
                <a:srgbClr val="00B050"/>
              </a:solidFill>
              <a:latin typeface="Calibri" panose="020F0502020204030204" pitchFamily="34" charset="0"/>
              <a:ea typeface="+mn-ea"/>
              <a:cs typeface="Calibri" panose="020F0502020204030204" pitchFamily="34" charset="0"/>
            </a:rPr>
            <a:t>16</a:t>
          </a:r>
          <a:r>
            <a:rPr lang="fr-FR" sz="1000">
              <a:solidFill>
                <a:schemeClr val="bg1">
                  <a:lumMod val="50000"/>
                </a:schemeClr>
              </a:solidFill>
              <a:latin typeface="Calibri" panose="020F0502020204030204" pitchFamily="34" charset="0"/>
              <a:ea typeface="+mn-ea"/>
              <a:cs typeface="Calibri" panose="020F0502020204030204" pitchFamily="34" charset="0"/>
            </a:rPr>
            <a:t> femmes</a:t>
          </a:r>
        </a:p>
      </xdr:txBody>
    </xdr:sp>
    <xdr:clientData/>
  </xdr:twoCellAnchor>
  <xdr:twoCellAnchor>
    <xdr:from>
      <xdr:col>6</xdr:col>
      <xdr:colOff>502919</xdr:colOff>
      <xdr:row>38</xdr:row>
      <xdr:rowOff>45720</xdr:rowOff>
    </xdr:from>
    <xdr:to>
      <xdr:col>13</xdr:col>
      <xdr:colOff>28574</xdr:colOff>
      <xdr:row>47</xdr:row>
      <xdr:rowOff>19050</xdr:rowOff>
    </xdr:to>
    <xdr:sp macro="" textlink="">
      <xdr:nvSpPr>
        <xdr:cNvPr id="8" name="ZoneTexte 7">
          <a:extLst>
            <a:ext uri="{FF2B5EF4-FFF2-40B4-BE49-F238E27FC236}">
              <a16:creationId xmlns:a16="http://schemas.microsoft.com/office/drawing/2014/main" id="{00000000-0008-0000-2000-000008000000}"/>
            </a:ext>
          </a:extLst>
        </xdr:cNvPr>
        <xdr:cNvSpPr txBox="1"/>
      </xdr:nvSpPr>
      <xdr:spPr>
        <a:xfrm>
          <a:off x="4379594" y="6017895"/>
          <a:ext cx="2364105" cy="12687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0" lang="fr-FR" sz="10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rPr>
            <a:t>En </a:t>
          </a:r>
          <a:r>
            <a:rPr kumimoji="0" lang="fr-FR" sz="14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rPr>
            <a:t>2021</a:t>
          </a:r>
        </a:p>
        <a:p>
          <a:pPr marL="0" marR="0" lvl="0" indent="0" algn="l" defTabSz="914400" eaLnBrk="1" fontAlgn="auto" latinLnBrk="0" hangingPunct="1">
            <a:lnSpc>
              <a:spcPts val="1200"/>
            </a:lnSpc>
            <a:spcBef>
              <a:spcPts val="0"/>
            </a:spcBef>
            <a:spcAft>
              <a:spcPts val="0"/>
            </a:spcAft>
            <a:buClrTx/>
            <a:buSzTx/>
            <a:buFontTx/>
            <a:buNone/>
            <a:tabLst/>
            <a:defRPr/>
          </a:pPr>
          <a:endParaRPr kumimoji="0" lang="fr-FR" sz="14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fr-FR" sz="14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rPr>
            <a:t>4 </a:t>
          </a:r>
          <a:r>
            <a:rPr kumimoji="0" lang="fr-FR" sz="10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rPr>
            <a:t>préavis de grève</a:t>
          </a:r>
        </a:p>
        <a:p>
          <a:pPr marL="0" marR="0" lvl="0" indent="0" algn="l" defTabSz="914400" eaLnBrk="1" fontAlgn="auto" latinLnBrk="0" hangingPunct="1">
            <a:lnSpc>
              <a:spcPts val="1200"/>
            </a:lnSpc>
            <a:spcBef>
              <a:spcPts val="0"/>
            </a:spcBef>
            <a:spcAft>
              <a:spcPts val="0"/>
            </a:spcAft>
            <a:buClrTx/>
            <a:buSzTx/>
            <a:buFontTx/>
            <a:buNone/>
            <a:tabLst/>
            <a:defRPr/>
          </a:pPr>
          <a:endParaRPr kumimoji="0" lang="fr-FR" sz="10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fr-FR" sz="14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rPr>
            <a:t>20 </a:t>
          </a:r>
          <a:r>
            <a:rPr kumimoji="0" lang="fr-FR" sz="10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rPr>
            <a:t>jours d'absence pour grève</a:t>
          </a:r>
        </a:p>
        <a:p>
          <a:pPr marL="0" marR="0" lvl="0" indent="0" algn="l" defTabSz="914400" eaLnBrk="1" fontAlgn="auto" latinLnBrk="0" hangingPunct="1">
            <a:lnSpc>
              <a:spcPts val="1200"/>
            </a:lnSpc>
            <a:spcBef>
              <a:spcPts val="0"/>
            </a:spcBef>
            <a:spcAft>
              <a:spcPts val="0"/>
            </a:spcAft>
            <a:buClrTx/>
            <a:buSzTx/>
            <a:buFontTx/>
            <a:buNone/>
            <a:tabLst/>
            <a:defRPr/>
          </a:pPr>
          <a:endParaRPr kumimoji="0" lang="fr-FR" sz="10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fr-FR" sz="14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rPr>
            <a:t>15</a:t>
          </a:r>
          <a:r>
            <a:rPr kumimoji="0" lang="fr-FR" sz="10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rPr>
            <a:t> agents grévistes dont </a:t>
          </a:r>
          <a:r>
            <a:rPr kumimoji="0" lang="fr-FR" sz="12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rPr>
            <a:t>7</a:t>
          </a:r>
          <a:r>
            <a:rPr kumimoji="0" lang="fr-FR" sz="10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Calibri" panose="020F0502020204030204" pitchFamily="34" charset="0"/>
            </a:rPr>
            <a:t> femmes</a:t>
          </a:r>
        </a:p>
      </xdr:txBody>
    </xdr:sp>
    <xdr:clientData/>
  </xdr:twoCellAnchor>
  <xdr:twoCellAnchor>
    <xdr:from>
      <xdr:col>6</xdr:col>
      <xdr:colOff>300989</xdr:colOff>
      <xdr:row>4</xdr:row>
      <xdr:rowOff>57148</xdr:rowOff>
    </xdr:from>
    <xdr:to>
      <xdr:col>14</xdr:col>
      <xdr:colOff>219074</xdr:colOff>
      <xdr:row>14</xdr:row>
      <xdr:rowOff>133350</xdr:rowOff>
    </xdr:to>
    <xdr:sp macro="" textlink="">
      <xdr:nvSpPr>
        <xdr:cNvPr id="3" name="ZoneTexte 2">
          <a:extLst>
            <a:ext uri="{FF2B5EF4-FFF2-40B4-BE49-F238E27FC236}">
              <a16:creationId xmlns:a16="http://schemas.microsoft.com/office/drawing/2014/main" id="{00000000-0008-0000-2000-000003000000}"/>
            </a:ext>
          </a:extLst>
        </xdr:cNvPr>
        <xdr:cNvSpPr txBox="1"/>
      </xdr:nvSpPr>
      <xdr:spPr>
        <a:xfrm>
          <a:off x="4282439" y="723898"/>
          <a:ext cx="3404235" cy="1504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800">
              <a:solidFill>
                <a:srgbClr val="00B050"/>
              </a:solidFill>
              <a:latin typeface="Calibri" panose="020F0502020204030204" pitchFamily="34" charset="0"/>
            </a:rPr>
            <a:t>6</a:t>
          </a:r>
          <a:r>
            <a:rPr lang="fr-FR" sz="1050">
              <a:solidFill>
                <a:schemeClr val="bg1">
                  <a:lumMod val="50000"/>
                </a:schemeClr>
              </a:solidFill>
              <a:latin typeface="Calibri" panose="020F0502020204030204" pitchFamily="34" charset="0"/>
            </a:rPr>
            <a:t> enseignants et </a:t>
          </a:r>
          <a:r>
            <a:rPr lang="fr-FR" sz="1800">
              <a:solidFill>
                <a:srgbClr val="00B050"/>
              </a:solidFill>
              <a:latin typeface="Calibri" panose="020F0502020204030204" pitchFamily="34" charset="0"/>
              <a:ea typeface="+mn-ea"/>
              <a:cs typeface="+mn-cs"/>
            </a:rPr>
            <a:t>19</a:t>
          </a:r>
          <a:r>
            <a:rPr lang="fr-FR" sz="1050">
              <a:solidFill>
                <a:schemeClr val="bg1">
                  <a:lumMod val="50000"/>
                </a:schemeClr>
              </a:solidFill>
              <a:latin typeface="Calibri" panose="020F0502020204030204" pitchFamily="34" charset="0"/>
            </a:rPr>
            <a:t> Biatss à </a:t>
          </a:r>
          <a:r>
            <a:rPr lang="fr-FR" sz="1800">
              <a:solidFill>
                <a:schemeClr val="bg1">
                  <a:lumMod val="50000"/>
                </a:schemeClr>
              </a:solidFill>
              <a:latin typeface="Calibri" panose="020F0502020204030204" pitchFamily="34" charset="0"/>
              <a:ea typeface="+mn-ea"/>
              <a:cs typeface="+mn-cs"/>
            </a:rPr>
            <a:t>50%</a:t>
          </a:r>
          <a:r>
            <a:rPr lang="fr-FR" sz="1050">
              <a:solidFill>
                <a:schemeClr val="bg1">
                  <a:lumMod val="50000"/>
                </a:schemeClr>
              </a:solidFill>
              <a:latin typeface="Calibri" panose="020F0502020204030204" pitchFamily="34" charset="0"/>
              <a:ea typeface="+mn-ea"/>
              <a:cs typeface="+mn-cs"/>
            </a:rPr>
            <a:t>, dont 21 femmes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800" b="0" i="0" u="none" strike="noStrike" kern="0" cap="none" spc="0" normalizeH="0" baseline="0" noProof="0">
              <a:ln>
                <a:noFill/>
              </a:ln>
              <a:solidFill>
                <a:srgbClr val="00B050"/>
              </a:solidFill>
              <a:effectLst/>
              <a:uLnTx/>
              <a:uFillTx/>
              <a:latin typeface="Calibri" panose="020F0502020204030204" pitchFamily="34" charset="0"/>
              <a:ea typeface="+mn-ea"/>
              <a:cs typeface="+mn-cs"/>
            </a:rPr>
            <a:t>1</a:t>
          </a:r>
          <a:r>
            <a:rPr kumimoji="0" lang="fr-FR" sz="105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 enseignant à </a:t>
          </a:r>
          <a:r>
            <a:rPr kumimoji="0" lang="fr-FR" sz="18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60%</a:t>
          </a:r>
          <a:r>
            <a:rPr kumimoji="0" lang="fr-FR" sz="105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 </a:t>
          </a:r>
          <a:r>
            <a:rPr lang="fr-FR" sz="1050" noProof="0">
              <a:solidFill>
                <a:schemeClr val="bg1">
                  <a:lumMod val="50000"/>
                </a:schemeClr>
              </a:solidFill>
              <a:latin typeface="Calibri" panose="020F0502020204030204" pitchFamily="34" charset="0"/>
              <a:ea typeface="+mn-ea"/>
              <a:cs typeface="+mn-cs"/>
            </a:rPr>
            <a:t>dont 1 femme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800" b="0" i="0" u="none" strike="noStrike" kern="0" cap="none" spc="0" normalizeH="0" baseline="0" noProof="0">
              <a:ln>
                <a:noFill/>
              </a:ln>
              <a:solidFill>
                <a:srgbClr val="00B050"/>
              </a:solidFill>
              <a:effectLst/>
              <a:uLnTx/>
              <a:uFillTx/>
              <a:latin typeface="Calibri" panose="020F0502020204030204" pitchFamily="34" charset="0"/>
              <a:ea typeface="+mn-ea"/>
              <a:cs typeface="+mn-cs"/>
            </a:rPr>
            <a:t>1</a:t>
          </a:r>
          <a:r>
            <a:rPr kumimoji="0" lang="fr-FR" sz="105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 enseignant et </a:t>
          </a:r>
          <a:r>
            <a:rPr kumimoji="0" lang="fr-FR" sz="1800" b="0" i="0" u="none" strike="noStrike" kern="0" cap="none" spc="0" normalizeH="0" baseline="0" noProof="0">
              <a:ln>
                <a:noFill/>
              </a:ln>
              <a:solidFill>
                <a:srgbClr val="00B050"/>
              </a:solidFill>
              <a:effectLst/>
              <a:uLnTx/>
              <a:uFillTx/>
              <a:latin typeface="Calibri" panose="020F0502020204030204" pitchFamily="34" charset="0"/>
              <a:ea typeface="+mn-ea"/>
              <a:cs typeface="+mn-cs"/>
            </a:rPr>
            <a:t>4</a:t>
          </a:r>
          <a:r>
            <a:rPr kumimoji="0" lang="fr-FR" sz="105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 Biatss à </a:t>
          </a:r>
          <a:r>
            <a:rPr kumimoji="0" lang="fr-FR" sz="18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70%</a:t>
          </a:r>
          <a:r>
            <a:rPr kumimoji="0" lang="fr-FR" sz="105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 dont 4 femmes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 </a:t>
          </a:r>
          <a:r>
            <a:rPr kumimoji="0" lang="fr-FR" sz="1800" b="0" i="0" u="none" strike="noStrike" kern="0" cap="none" spc="0" normalizeH="0" baseline="0" noProof="0">
              <a:ln>
                <a:noFill/>
              </a:ln>
              <a:solidFill>
                <a:srgbClr val="00B050"/>
              </a:solidFill>
              <a:effectLst/>
              <a:uLnTx/>
              <a:uFillTx/>
              <a:latin typeface="Calibri" panose="020F0502020204030204" pitchFamily="34" charset="0"/>
              <a:ea typeface="+mn-ea"/>
              <a:cs typeface="+mn-cs"/>
            </a:rPr>
            <a:t>2</a:t>
          </a:r>
          <a:r>
            <a:rPr kumimoji="0" lang="fr-FR" sz="105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 Biatss à </a:t>
          </a:r>
          <a:r>
            <a:rPr kumimoji="0" lang="fr-FR" sz="18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80%</a:t>
          </a:r>
          <a:r>
            <a:rPr kumimoji="0" lang="fr-FR" sz="105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mn-cs"/>
            </a:rPr>
            <a:t>, dont 1 femme</a:t>
          </a:r>
        </a:p>
        <a:p>
          <a:pPr algn="ctr"/>
          <a:r>
            <a:rPr lang="fr-FR" sz="1800" baseline="0">
              <a:solidFill>
                <a:srgbClr val="00B050"/>
              </a:solidFill>
              <a:latin typeface="Calibri" panose="020F0502020204030204" pitchFamily="34" charset="0"/>
              <a:ea typeface="+mn-ea"/>
              <a:cs typeface="+mn-cs"/>
            </a:rPr>
            <a:t>1</a:t>
          </a:r>
          <a:r>
            <a:rPr lang="fr-FR" sz="1800" baseline="0">
              <a:solidFill>
                <a:srgbClr val="FF0000"/>
              </a:solidFill>
              <a:latin typeface="Calibri" panose="020F0502020204030204" pitchFamily="34" charset="0"/>
              <a:ea typeface="+mn-ea"/>
              <a:cs typeface="+mn-cs"/>
            </a:rPr>
            <a:t> </a:t>
          </a:r>
          <a:r>
            <a:rPr lang="fr-FR" sz="1050" baseline="0">
              <a:solidFill>
                <a:schemeClr val="bg1">
                  <a:lumMod val="50000"/>
                </a:schemeClr>
              </a:solidFill>
              <a:latin typeface="Calibri" panose="020F0502020204030204" pitchFamily="34" charset="0"/>
              <a:ea typeface="+mn-ea"/>
              <a:cs typeface="+mn-cs"/>
            </a:rPr>
            <a:t>Biatss</a:t>
          </a:r>
          <a:r>
            <a:rPr lang="fr-FR" sz="1800" baseline="0">
              <a:solidFill>
                <a:srgbClr val="FF0000"/>
              </a:solidFill>
              <a:latin typeface="Calibri" panose="020F0502020204030204" pitchFamily="34" charset="0"/>
              <a:ea typeface="+mn-ea"/>
              <a:cs typeface="+mn-cs"/>
            </a:rPr>
            <a:t> </a:t>
          </a:r>
          <a:r>
            <a:rPr lang="fr-FR" sz="1050">
              <a:solidFill>
                <a:schemeClr val="bg1">
                  <a:lumMod val="50000"/>
                </a:schemeClr>
              </a:solidFill>
              <a:latin typeface="Calibri" panose="020F0502020204030204" pitchFamily="34" charset="0"/>
              <a:ea typeface="+mn-ea"/>
              <a:cs typeface="+mn-cs"/>
            </a:rPr>
            <a:t>à </a:t>
          </a:r>
          <a:r>
            <a:rPr lang="fr-FR" sz="1800">
              <a:solidFill>
                <a:schemeClr val="bg1">
                  <a:lumMod val="50000"/>
                </a:schemeClr>
              </a:solidFill>
              <a:latin typeface="Calibri" panose="020F0502020204030204" pitchFamily="34" charset="0"/>
              <a:ea typeface="+mn-ea"/>
              <a:cs typeface="+mn-cs"/>
            </a:rPr>
            <a:t>90</a:t>
          </a:r>
          <a:r>
            <a:rPr lang="fr-FR" sz="1050">
              <a:solidFill>
                <a:schemeClr val="bg1">
                  <a:lumMod val="50000"/>
                </a:schemeClr>
              </a:solidFill>
              <a:latin typeface="Calibri" panose="020F0502020204030204" pitchFamily="34" charset="0"/>
              <a:ea typeface="+mn-ea"/>
              <a:cs typeface="+mn-cs"/>
            </a:rPr>
            <a:t> </a:t>
          </a:r>
          <a:r>
            <a:rPr lang="fr-FR" sz="1800">
              <a:solidFill>
                <a:schemeClr val="bg1">
                  <a:lumMod val="50000"/>
                </a:schemeClr>
              </a:solidFill>
              <a:latin typeface="Calibri" panose="020F0502020204030204" pitchFamily="34" charset="0"/>
              <a:ea typeface="+mn-ea"/>
              <a:cs typeface="+mn-cs"/>
            </a:rPr>
            <a:t>%</a:t>
          </a:r>
          <a:r>
            <a:rPr lang="fr-FR" sz="1050">
              <a:solidFill>
                <a:schemeClr val="bg1">
                  <a:lumMod val="50000"/>
                </a:schemeClr>
              </a:solidFill>
              <a:latin typeface="Calibri" panose="020F0502020204030204" pitchFamily="34" charset="0"/>
              <a:ea typeface="+mn-ea"/>
              <a:cs typeface="+mn-cs"/>
            </a:rPr>
            <a:t>, dont 1 femme</a:t>
          </a:r>
        </a:p>
      </xdr:txBody>
    </xdr:sp>
    <xdr:clientData/>
  </xdr:twoCellAnchor>
  <xdr:twoCellAnchor>
    <xdr:from>
      <xdr:col>0</xdr:col>
      <xdr:colOff>632458</xdr:colOff>
      <xdr:row>1</xdr:row>
      <xdr:rowOff>0</xdr:rowOff>
    </xdr:from>
    <xdr:to>
      <xdr:col>13</xdr:col>
      <xdr:colOff>47625</xdr:colOff>
      <xdr:row>4</xdr:row>
      <xdr:rowOff>19050</xdr:rowOff>
    </xdr:to>
    <xdr:sp macro="" textlink="">
      <xdr:nvSpPr>
        <xdr:cNvPr id="7" name="ZoneTexte 6">
          <a:extLst>
            <a:ext uri="{FF2B5EF4-FFF2-40B4-BE49-F238E27FC236}">
              <a16:creationId xmlns:a16="http://schemas.microsoft.com/office/drawing/2014/main" id="{C9F754AD-9B55-4CBA-9B2C-D0AA0B14132C}"/>
            </a:ext>
          </a:extLst>
        </xdr:cNvPr>
        <xdr:cNvSpPr txBox="1"/>
      </xdr:nvSpPr>
      <xdr:spPr>
        <a:xfrm>
          <a:off x="632458" y="228600"/>
          <a:ext cx="6130292"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900">
              <a:solidFill>
                <a:schemeClr val="bg1">
                  <a:lumMod val="50000"/>
                </a:schemeClr>
              </a:solidFill>
              <a:latin typeface="Calibri" panose="020F0502020204030204" pitchFamily="34" charset="0"/>
              <a:ea typeface="+mn-ea"/>
              <a:cs typeface="+mn-cs"/>
            </a:rPr>
            <a:t>L'ordonance 2017-53 du 20 janvier 2017 a permis de faciliter l'accès au dispositif de temps partiel thérapeutique en supprimant le caractère obligatoire de l'avis de la commission</a:t>
          </a:r>
          <a:r>
            <a:rPr lang="fr-FR" sz="900" baseline="0">
              <a:solidFill>
                <a:schemeClr val="bg1">
                  <a:lumMod val="50000"/>
                </a:schemeClr>
              </a:solidFill>
              <a:latin typeface="Calibri" panose="020F0502020204030204" pitchFamily="34" charset="0"/>
              <a:ea typeface="+mn-ea"/>
              <a:cs typeface="+mn-cs"/>
            </a:rPr>
            <a:t> de réforme ou du comité médicale.</a:t>
          </a:r>
          <a:endParaRPr lang="fr-FR" sz="900">
            <a:solidFill>
              <a:schemeClr val="bg1">
                <a:lumMod val="50000"/>
              </a:schemeClr>
            </a:solidFill>
            <a:latin typeface="Calibri" panose="020F0502020204030204" pitchFamily="34" charset="0"/>
            <a:ea typeface="+mn-ea"/>
            <a:cs typeface="+mn-cs"/>
          </a:endParaRPr>
        </a:p>
      </xdr:txBody>
    </xdr:sp>
    <xdr:clientData/>
  </xdr:twoCellAnchor>
  <xdr:twoCellAnchor>
    <xdr:from>
      <xdr:col>2</xdr:col>
      <xdr:colOff>666750</xdr:colOff>
      <xdr:row>38</xdr:row>
      <xdr:rowOff>9525</xdr:rowOff>
    </xdr:from>
    <xdr:to>
      <xdr:col>6</xdr:col>
      <xdr:colOff>323850</xdr:colOff>
      <xdr:row>46</xdr:row>
      <xdr:rowOff>114300</xdr:rowOff>
    </xdr:to>
    <xdr:sp macro="" textlink="">
      <xdr:nvSpPr>
        <xdr:cNvPr id="4" name="ZoneTexte 3">
          <a:extLst>
            <a:ext uri="{FF2B5EF4-FFF2-40B4-BE49-F238E27FC236}">
              <a16:creationId xmlns:a16="http://schemas.microsoft.com/office/drawing/2014/main" id="{22224955-0A3B-444D-B7AE-B13AEC8F1110}"/>
            </a:ext>
          </a:extLst>
        </xdr:cNvPr>
        <xdr:cNvSpPr txBox="1"/>
      </xdr:nvSpPr>
      <xdr:spPr>
        <a:xfrm>
          <a:off x="2000250" y="5981700"/>
          <a:ext cx="2200275"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0" lang="fr-FR" sz="10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Calibri" panose="020F0502020204030204" pitchFamily="34" charset="0"/>
            </a:rPr>
            <a:t>En </a:t>
          </a:r>
          <a:r>
            <a:rPr kumimoji="0" lang="fr-FR" sz="14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Calibri" panose="020F0502020204030204" pitchFamily="34" charset="0"/>
            </a:rPr>
            <a:t>2020</a:t>
          </a:r>
        </a:p>
        <a:p>
          <a:pPr marL="0" marR="0" lvl="0" indent="0" algn="l" defTabSz="914400" eaLnBrk="1" fontAlgn="auto" latinLnBrk="0" hangingPunct="1">
            <a:lnSpc>
              <a:spcPts val="1200"/>
            </a:lnSpc>
            <a:spcBef>
              <a:spcPts val="0"/>
            </a:spcBef>
            <a:spcAft>
              <a:spcPts val="0"/>
            </a:spcAft>
            <a:buClrTx/>
            <a:buSzTx/>
            <a:buFontTx/>
            <a:buNone/>
            <a:tabLst/>
            <a:defRPr/>
          </a:pPr>
          <a:endParaRPr kumimoji="0" lang="fr-FR" sz="10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Calibri" panose="020F0502020204030204" pitchFamily="34"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fr-FR" sz="14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Calibri" panose="020F0502020204030204" pitchFamily="34" charset="0"/>
            </a:rPr>
            <a:t>10</a:t>
          </a:r>
          <a:r>
            <a:rPr kumimoji="0" lang="fr-FR" sz="10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Calibri" panose="020F0502020204030204" pitchFamily="34" charset="0"/>
            </a:rPr>
            <a:t> préavis de grève</a:t>
          </a:r>
        </a:p>
        <a:p>
          <a:pPr marL="0" marR="0" lvl="0" indent="0" algn="l" defTabSz="914400" eaLnBrk="1" fontAlgn="auto" latinLnBrk="0" hangingPunct="1">
            <a:lnSpc>
              <a:spcPts val="1200"/>
            </a:lnSpc>
            <a:spcBef>
              <a:spcPts val="0"/>
            </a:spcBef>
            <a:spcAft>
              <a:spcPts val="0"/>
            </a:spcAft>
            <a:buClrTx/>
            <a:buSzTx/>
            <a:buFontTx/>
            <a:buNone/>
            <a:tabLst/>
            <a:defRPr/>
          </a:pPr>
          <a:endParaRPr kumimoji="0" lang="fr-FR" sz="10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Calibri" panose="020F0502020204030204" pitchFamily="34"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fr-FR" sz="14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Calibri" panose="020F0502020204030204" pitchFamily="34" charset="0"/>
            </a:rPr>
            <a:t>192</a:t>
          </a:r>
          <a:r>
            <a:rPr kumimoji="0" lang="fr-FR" sz="1400" b="0" i="0" u="none" strike="noStrike" kern="0" cap="none" spc="0" normalizeH="0" baseline="0" noProof="0">
              <a:ln>
                <a:noFill/>
              </a:ln>
              <a:solidFill>
                <a:srgbClr val="00B050"/>
              </a:solidFill>
              <a:effectLst/>
              <a:uLnTx/>
              <a:uFillTx/>
              <a:latin typeface="Calibri" panose="020F0502020204030204" pitchFamily="34" charset="0"/>
              <a:ea typeface="+mn-ea"/>
              <a:cs typeface="Calibri" panose="020F0502020204030204" pitchFamily="34" charset="0"/>
            </a:rPr>
            <a:t> </a:t>
          </a:r>
          <a:r>
            <a:rPr kumimoji="0" lang="fr-FR" sz="10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Calibri" panose="020F0502020204030204" pitchFamily="34" charset="0"/>
            </a:rPr>
            <a:t>jours d'absence pour grève</a:t>
          </a:r>
        </a:p>
        <a:p>
          <a:pPr marL="0" marR="0" lvl="0" indent="0" algn="l" defTabSz="914400" eaLnBrk="1" fontAlgn="auto" latinLnBrk="0" hangingPunct="1">
            <a:lnSpc>
              <a:spcPts val="1200"/>
            </a:lnSpc>
            <a:spcBef>
              <a:spcPts val="0"/>
            </a:spcBef>
            <a:spcAft>
              <a:spcPts val="0"/>
            </a:spcAft>
            <a:buClrTx/>
            <a:buSzTx/>
            <a:buFontTx/>
            <a:buNone/>
            <a:tabLst/>
            <a:defRPr/>
          </a:pPr>
          <a:endParaRPr kumimoji="0" lang="fr-FR" sz="10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Calibri" panose="020F0502020204030204" pitchFamily="34"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fr-FR" sz="14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Calibri" panose="020F0502020204030204" pitchFamily="34" charset="0"/>
            </a:rPr>
            <a:t>148</a:t>
          </a:r>
          <a:r>
            <a:rPr kumimoji="0" lang="fr-FR" sz="1000" b="0" i="0" u="none" strike="noStrike" kern="0" cap="none" spc="0" normalizeH="0" baseline="0" noProof="0">
              <a:ln>
                <a:noFill/>
              </a:ln>
              <a:solidFill>
                <a:prstClr val="white">
                  <a:lumMod val="50000"/>
                </a:prstClr>
              </a:solidFill>
              <a:effectLst/>
              <a:uLnTx/>
              <a:uFillTx/>
              <a:latin typeface="Calibri" panose="020F0502020204030204" pitchFamily="34" charset="0"/>
              <a:ea typeface="+mn-ea"/>
              <a:cs typeface="Calibri" panose="020F0502020204030204" pitchFamily="34" charset="0"/>
            </a:rPr>
            <a:t> agents grévistes dont 80 femmes</a:t>
          </a:r>
        </a:p>
        <a:p>
          <a:endParaRPr lang="fr-FR"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381000</xdr:colOff>
      <xdr:row>3</xdr:row>
      <xdr:rowOff>76200</xdr:rowOff>
    </xdr:from>
    <xdr:to>
      <xdr:col>5</xdr:col>
      <xdr:colOff>11565</xdr:colOff>
      <xdr:row>17</xdr:row>
      <xdr:rowOff>60960</xdr:rowOff>
    </xdr:to>
    <xdr:sp macro="" textlink="">
      <xdr:nvSpPr>
        <xdr:cNvPr id="2" name="ZoneTexte 1">
          <a:extLst>
            <a:ext uri="{FF2B5EF4-FFF2-40B4-BE49-F238E27FC236}">
              <a16:creationId xmlns:a16="http://schemas.microsoft.com/office/drawing/2014/main" id="{00000000-0008-0000-2100-000002000000}"/>
            </a:ext>
          </a:extLst>
        </xdr:cNvPr>
        <xdr:cNvSpPr txBox="1"/>
      </xdr:nvSpPr>
      <xdr:spPr>
        <a:xfrm>
          <a:off x="381000" y="352425"/>
          <a:ext cx="2792865" cy="1842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200" b="0">
              <a:solidFill>
                <a:schemeClr val="bg1">
                  <a:lumMod val="50000"/>
                </a:schemeClr>
              </a:solidFill>
              <a:latin typeface="Calibri" pitchFamily="34" charset="0"/>
              <a:ea typeface="+mn-ea"/>
              <a:cs typeface="+mn-cs"/>
            </a:rPr>
            <a:t>Les acteurs du Service de Médecine du personnel :</a:t>
          </a:r>
        </a:p>
        <a:p>
          <a:pPr algn="r"/>
          <a:r>
            <a:rPr lang="fr-FR" sz="1200" b="0">
              <a:solidFill>
                <a:schemeClr val="bg1">
                  <a:lumMod val="50000"/>
                </a:schemeClr>
              </a:solidFill>
              <a:latin typeface="Calibri" pitchFamily="34" charset="0"/>
              <a:ea typeface="+mn-ea"/>
              <a:cs typeface="+mn-cs"/>
            </a:rPr>
            <a:t>- 1 médecin de prévention</a:t>
          </a:r>
        </a:p>
        <a:p>
          <a:pPr algn="r"/>
          <a:r>
            <a:rPr lang="fr-FR" sz="1200" b="0">
              <a:solidFill>
                <a:schemeClr val="bg1">
                  <a:lumMod val="50000"/>
                </a:schemeClr>
              </a:solidFill>
              <a:latin typeface="Calibri" pitchFamily="34" charset="0"/>
              <a:ea typeface="+mn-ea"/>
              <a:cs typeface="+mn-cs"/>
            </a:rPr>
            <a:t>- 1 personnel BIATSS</a:t>
          </a:r>
        </a:p>
        <a:p>
          <a:pPr algn="r"/>
          <a:endParaRPr lang="fr-FR" sz="1000" b="0">
            <a:solidFill>
              <a:schemeClr val="bg1">
                <a:lumMod val="50000"/>
              </a:schemeClr>
            </a:solidFill>
            <a:latin typeface="Calibri" pitchFamily="34" charset="0"/>
            <a:ea typeface="+mn-ea"/>
            <a:cs typeface="+mn-cs"/>
          </a:endParaRPr>
        </a:p>
        <a:p>
          <a:pPr algn="r"/>
          <a:r>
            <a:rPr lang="fr-FR" sz="900" b="0">
              <a:solidFill>
                <a:schemeClr val="bg1">
                  <a:lumMod val="50000"/>
                </a:schemeClr>
              </a:solidFill>
              <a:latin typeface="Calibri" pitchFamily="34" charset="0"/>
              <a:ea typeface="+mn-ea"/>
              <a:cs typeface="+mn-cs"/>
            </a:rPr>
            <a:t>Le médecin de prévention effectue  une permanence sur le campus de Roanne.</a:t>
          </a:r>
        </a:p>
        <a:p>
          <a:pPr algn="r"/>
          <a:r>
            <a:rPr lang="fr-FR" sz="900" b="0">
              <a:solidFill>
                <a:schemeClr val="bg1">
                  <a:lumMod val="50000"/>
                </a:schemeClr>
              </a:solidFill>
              <a:latin typeface="Calibri" pitchFamily="34" charset="0"/>
              <a:ea typeface="+mn-ea"/>
              <a:cs typeface="+mn-cs"/>
            </a:rPr>
            <a:t>Les personnels des organismes conventionnés (CLOUS, CNRS, INSERM,ENSASE) sont également pris en charge</a:t>
          </a:r>
          <a:r>
            <a:rPr lang="fr-FR" sz="900" b="0" baseline="0">
              <a:solidFill>
                <a:schemeClr val="bg1">
                  <a:lumMod val="50000"/>
                </a:schemeClr>
              </a:solidFill>
              <a:latin typeface="Calibri" pitchFamily="34" charset="0"/>
              <a:ea typeface="+mn-ea"/>
              <a:cs typeface="+mn-cs"/>
            </a:rPr>
            <a:t> par le médecin de prévention.</a:t>
          </a:r>
          <a:endParaRPr lang="fr-FR" sz="900" b="0">
            <a:solidFill>
              <a:schemeClr val="bg1">
                <a:lumMod val="50000"/>
              </a:schemeClr>
            </a:solidFill>
            <a:latin typeface="Calibri" pitchFamily="34" charset="0"/>
            <a:ea typeface="+mn-ea"/>
            <a:cs typeface="+mn-cs"/>
          </a:endParaRPr>
        </a:p>
      </xdr:txBody>
    </xdr:sp>
    <xdr:clientData/>
  </xdr:twoCellAnchor>
  <xdr:twoCellAnchor>
    <xdr:from>
      <xdr:col>9</xdr:col>
      <xdr:colOff>651511</xdr:colOff>
      <xdr:row>49</xdr:row>
      <xdr:rowOff>190500</xdr:rowOff>
    </xdr:from>
    <xdr:to>
      <xdr:col>10</xdr:col>
      <xdr:colOff>1946910</xdr:colOff>
      <xdr:row>51</xdr:row>
      <xdr:rowOff>9525</xdr:rowOff>
    </xdr:to>
    <xdr:sp macro="" textlink="">
      <xdr:nvSpPr>
        <xdr:cNvPr id="3" name="ZoneTexte 2">
          <a:extLst>
            <a:ext uri="{FF2B5EF4-FFF2-40B4-BE49-F238E27FC236}">
              <a16:creationId xmlns:a16="http://schemas.microsoft.com/office/drawing/2014/main" id="{00000000-0008-0000-2100-000003000000}"/>
            </a:ext>
          </a:extLst>
        </xdr:cNvPr>
        <xdr:cNvSpPr txBox="1"/>
      </xdr:nvSpPr>
      <xdr:spPr>
        <a:xfrm>
          <a:off x="5604511" y="6838950"/>
          <a:ext cx="1981199"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900" b="0" i="1">
              <a:solidFill>
                <a:schemeClr val="bg1">
                  <a:lumMod val="50000"/>
                </a:schemeClr>
              </a:solidFill>
              <a:latin typeface="Calibri" pitchFamily="34" charset="0"/>
              <a:ea typeface="+mn-ea"/>
              <a:cs typeface="+mn-cs"/>
            </a:rPr>
            <a:t>Source : Médecin de prévention 2022</a:t>
          </a:r>
        </a:p>
      </xdr:txBody>
    </xdr:sp>
    <xdr:clientData/>
  </xdr:twoCellAnchor>
  <xdr:twoCellAnchor>
    <xdr:from>
      <xdr:col>21</xdr:col>
      <xdr:colOff>163830</xdr:colOff>
      <xdr:row>40</xdr:row>
      <xdr:rowOff>19051</xdr:rowOff>
    </xdr:from>
    <xdr:to>
      <xdr:col>25</xdr:col>
      <xdr:colOff>95250</xdr:colOff>
      <xdr:row>46</xdr:row>
      <xdr:rowOff>38100</xdr:rowOff>
    </xdr:to>
    <xdr:sp macro="" textlink="">
      <xdr:nvSpPr>
        <xdr:cNvPr id="4" name="ZoneTexte 3">
          <a:extLst>
            <a:ext uri="{FF2B5EF4-FFF2-40B4-BE49-F238E27FC236}">
              <a16:creationId xmlns:a16="http://schemas.microsoft.com/office/drawing/2014/main" id="{00000000-0008-0000-2100-000004000000}"/>
            </a:ext>
          </a:extLst>
        </xdr:cNvPr>
        <xdr:cNvSpPr txBox="1"/>
      </xdr:nvSpPr>
      <xdr:spPr>
        <a:xfrm>
          <a:off x="12555855" y="5372101"/>
          <a:ext cx="3236595" cy="885824"/>
        </a:xfrm>
        <a:prstGeom prst="rect">
          <a:avLst/>
        </a:prstGeom>
        <a:no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ts val="1000"/>
            </a:lnSpc>
          </a:pPr>
          <a:endParaRPr kumimoji="0" lang="fr-FR" sz="900" b="0" i="0" u="none" strike="noStrike" kern="0" cap="none" spc="0" normalizeH="0" baseline="0" noProof="0">
            <a:ln>
              <a:noFill/>
            </a:ln>
            <a:solidFill>
              <a:srgbClr val="00B050"/>
            </a:solidFill>
            <a:effectLst/>
            <a:uLnTx/>
            <a:uFillTx/>
            <a:latin typeface="Calibri" pitchFamily="34" charset="0"/>
            <a:ea typeface="+mn-ea"/>
            <a:cs typeface="+mn-cs"/>
          </a:endParaRPr>
        </a:p>
      </xdr:txBody>
    </xdr:sp>
    <xdr:clientData/>
  </xdr:twoCellAnchor>
  <xdr:twoCellAnchor>
    <xdr:from>
      <xdr:col>0</xdr:col>
      <xdr:colOff>80010</xdr:colOff>
      <xdr:row>17</xdr:row>
      <xdr:rowOff>127636</xdr:rowOff>
    </xdr:from>
    <xdr:to>
      <xdr:col>5</xdr:col>
      <xdr:colOff>550500</xdr:colOff>
      <xdr:row>39</xdr:row>
      <xdr:rowOff>121920</xdr:rowOff>
    </xdr:to>
    <xdr:sp macro="" textlink="">
      <xdr:nvSpPr>
        <xdr:cNvPr id="5" name="ZoneTexte 4">
          <a:extLst>
            <a:ext uri="{FF2B5EF4-FFF2-40B4-BE49-F238E27FC236}">
              <a16:creationId xmlns:a16="http://schemas.microsoft.com/office/drawing/2014/main" id="{00000000-0008-0000-2100-000005000000}"/>
            </a:ext>
          </a:extLst>
        </xdr:cNvPr>
        <xdr:cNvSpPr txBox="1"/>
      </xdr:nvSpPr>
      <xdr:spPr>
        <a:xfrm>
          <a:off x="80010" y="2261236"/>
          <a:ext cx="3632790" cy="28327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200"/>
            </a:lnSpc>
          </a:pPr>
          <a:r>
            <a:rPr lang="fr-FR" sz="900" b="0" baseline="0">
              <a:solidFill>
                <a:schemeClr val="bg1">
                  <a:lumMod val="50000"/>
                </a:schemeClr>
              </a:solidFill>
              <a:latin typeface="Calibri" pitchFamily="34" charset="0"/>
              <a:ea typeface="+mn-ea"/>
              <a:cs typeface="+mn-cs"/>
            </a:rPr>
            <a:t>Le médecin de prévention réalise des visites médicales :</a:t>
          </a:r>
        </a:p>
        <a:p>
          <a:pPr algn="l">
            <a:lnSpc>
              <a:spcPts val="1200"/>
            </a:lnSpc>
          </a:pPr>
          <a:endParaRPr lang="fr-FR" sz="900" b="0" baseline="0">
            <a:solidFill>
              <a:schemeClr val="bg1">
                <a:lumMod val="50000"/>
              </a:schemeClr>
            </a:solidFill>
            <a:latin typeface="Calibri" pitchFamily="34" charset="0"/>
            <a:ea typeface="+mn-ea"/>
            <a:cs typeface="+mn-cs"/>
          </a:endParaRPr>
        </a:p>
        <a:p>
          <a:pPr marL="171450" indent="-171450" algn="l">
            <a:lnSpc>
              <a:spcPts val="1200"/>
            </a:lnSpc>
            <a:buFont typeface="Arial" panose="020B0604020202020204" pitchFamily="34" charset="0"/>
            <a:buChar char="•"/>
          </a:pPr>
          <a:r>
            <a:rPr lang="fr-FR" sz="900" b="0" baseline="0">
              <a:solidFill>
                <a:srgbClr val="00B050"/>
              </a:solidFill>
              <a:latin typeface="Calibri" pitchFamily="34" charset="0"/>
              <a:ea typeface="+mn-ea"/>
              <a:cs typeface="+mn-cs"/>
            </a:rPr>
            <a:t>périodiques  (systématiques quinquennales,  annuelles ou biennales pour les personnels soumis à surveillance médicale rapprochée);</a:t>
          </a:r>
        </a:p>
        <a:p>
          <a:pPr algn="l">
            <a:lnSpc>
              <a:spcPts val="1200"/>
            </a:lnSpc>
          </a:pPr>
          <a:endParaRPr lang="fr-FR" sz="900" b="0" baseline="0">
            <a:solidFill>
              <a:schemeClr val="bg1">
                <a:lumMod val="50000"/>
              </a:schemeClr>
            </a:solidFill>
            <a:latin typeface="Calibri" pitchFamily="34" charset="0"/>
            <a:ea typeface="+mn-ea"/>
            <a:cs typeface="+mn-cs"/>
          </a:endParaRPr>
        </a:p>
        <a:p>
          <a:pPr marL="171450" indent="-171450" algn="l">
            <a:lnSpc>
              <a:spcPts val="1200"/>
            </a:lnSpc>
            <a:buFont typeface="Arial" panose="020B0604020202020204" pitchFamily="34" charset="0"/>
            <a:buChar char="•"/>
          </a:pPr>
          <a:r>
            <a:rPr lang="fr-FR" sz="900" b="0" baseline="0">
              <a:solidFill>
                <a:schemeClr val="bg1">
                  <a:lumMod val="50000"/>
                </a:schemeClr>
              </a:solidFill>
              <a:latin typeface="Calibri" pitchFamily="34" charset="0"/>
              <a:ea typeface="+mn-ea"/>
              <a:cs typeface="+mn-cs"/>
            </a:rPr>
            <a:t>non périodiques (premières visites ou visites d'embauche)</a:t>
          </a:r>
        </a:p>
        <a:p>
          <a:pPr algn="l">
            <a:lnSpc>
              <a:spcPts val="1200"/>
            </a:lnSpc>
          </a:pPr>
          <a:endParaRPr lang="fr-FR" sz="900" b="0" baseline="0">
            <a:solidFill>
              <a:schemeClr val="bg1">
                <a:lumMod val="50000"/>
              </a:schemeClr>
            </a:solidFill>
            <a:latin typeface="Calibri" pitchFamily="34" charset="0"/>
            <a:ea typeface="+mn-ea"/>
            <a:cs typeface="+mn-cs"/>
          </a:endParaRPr>
        </a:p>
        <a:p>
          <a:pPr marL="171450" indent="-171450" algn="l">
            <a:lnSpc>
              <a:spcPts val="1200"/>
            </a:lnSpc>
            <a:buFont typeface="Arial" panose="020B0604020202020204" pitchFamily="34" charset="0"/>
            <a:buChar char="•"/>
          </a:pPr>
          <a:r>
            <a:rPr lang="fr-FR" sz="900" b="0" baseline="0">
              <a:solidFill>
                <a:schemeClr val="bg1">
                  <a:lumMod val="50000"/>
                </a:schemeClr>
              </a:solidFill>
              <a:latin typeface="Calibri" pitchFamily="34" charset="0"/>
              <a:ea typeface="+mn-ea"/>
              <a:cs typeface="+mn-cs"/>
            </a:rPr>
            <a:t>à la demande de l'employeur, du médecin ou de l'agent pour </a:t>
          </a:r>
        </a:p>
        <a:p>
          <a:pPr algn="l">
            <a:lnSpc>
              <a:spcPts val="1200"/>
            </a:lnSpc>
          </a:pPr>
          <a:r>
            <a:rPr lang="fr-FR" sz="900" b="0" baseline="0">
              <a:solidFill>
                <a:schemeClr val="bg1">
                  <a:lumMod val="50000"/>
                </a:schemeClr>
              </a:solidFill>
              <a:latin typeface="Calibri" pitchFamily="34" charset="0"/>
              <a:ea typeface="+mn-ea"/>
              <a:cs typeface="+mn-cs"/>
            </a:rPr>
            <a:t>      - problème de santé ou handicap entraînant des difficultés au travail          ou à la reprise du travail et/ou justifiant d'aménagement</a:t>
          </a:r>
        </a:p>
        <a:p>
          <a:pPr algn="l"/>
          <a:r>
            <a:rPr lang="fr-FR" sz="900" b="0" baseline="0">
              <a:solidFill>
                <a:schemeClr val="bg1">
                  <a:lumMod val="50000"/>
                </a:schemeClr>
              </a:solidFill>
              <a:latin typeface="Calibri" pitchFamily="34" charset="0"/>
              <a:ea typeface="+mn-ea"/>
              <a:cs typeface="+mn-cs"/>
            </a:rPr>
            <a:t>      - </a:t>
          </a:r>
          <a:r>
            <a:rPr lang="fr-FR" sz="900" b="0">
              <a:solidFill>
                <a:schemeClr val="bg1">
                  <a:lumMod val="50000"/>
                </a:schemeClr>
              </a:solidFill>
              <a:latin typeface="Calibri" pitchFamily="34" charset="0"/>
              <a:ea typeface="+mn-ea"/>
              <a:cs typeface="+mn-cs"/>
            </a:rPr>
            <a:t>reprise après maladie, disponibilité, CLM/CLD, maternité</a:t>
          </a:r>
        </a:p>
        <a:p>
          <a:pPr algn="l"/>
          <a:r>
            <a:rPr lang="fr-FR" sz="900" b="0">
              <a:solidFill>
                <a:schemeClr val="bg1">
                  <a:lumMod val="50000"/>
                </a:schemeClr>
              </a:solidFill>
              <a:latin typeface="Calibri" pitchFamily="34" charset="0"/>
              <a:ea typeface="+mn-ea"/>
              <a:cs typeface="+mn-cs"/>
            </a:rPr>
            <a:t>      -</a:t>
          </a:r>
          <a:r>
            <a:rPr lang="fr-FR" sz="900" b="0" baseline="0">
              <a:solidFill>
                <a:schemeClr val="bg1">
                  <a:lumMod val="50000"/>
                </a:schemeClr>
              </a:solidFill>
              <a:latin typeface="Calibri" pitchFamily="34" charset="0"/>
              <a:ea typeface="+mn-ea"/>
              <a:cs typeface="+mn-cs"/>
            </a:rPr>
            <a:t> </a:t>
          </a:r>
          <a:r>
            <a:rPr lang="fr-FR" sz="900" b="0">
              <a:solidFill>
                <a:schemeClr val="bg1">
                  <a:lumMod val="50000"/>
                </a:schemeClr>
              </a:solidFill>
              <a:latin typeface="Calibri" pitchFamily="34" charset="0"/>
              <a:ea typeface="+mn-ea"/>
              <a:cs typeface="+mn-cs"/>
            </a:rPr>
            <a:t>accident de travail ou maladie professionnelle</a:t>
          </a:r>
        </a:p>
        <a:p>
          <a:pPr algn="l"/>
          <a:r>
            <a:rPr lang="fr-FR" sz="900" b="0">
              <a:solidFill>
                <a:schemeClr val="bg1">
                  <a:lumMod val="50000"/>
                </a:schemeClr>
              </a:solidFill>
              <a:latin typeface="Calibri" pitchFamily="34" charset="0"/>
              <a:ea typeface="+mn-ea"/>
              <a:cs typeface="+mn-cs"/>
            </a:rPr>
            <a:t>      -</a:t>
          </a:r>
          <a:r>
            <a:rPr lang="fr-FR" sz="900" b="0" baseline="0">
              <a:solidFill>
                <a:schemeClr val="bg1">
                  <a:lumMod val="50000"/>
                </a:schemeClr>
              </a:solidFill>
              <a:latin typeface="Calibri" pitchFamily="34" charset="0"/>
              <a:ea typeface="+mn-ea"/>
              <a:cs typeface="+mn-cs"/>
            </a:rPr>
            <a:t> </a:t>
          </a:r>
          <a:r>
            <a:rPr lang="fr-FR" sz="900" b="0">
              <a:solidFill>
                <a:schemeClr val="bg1">
                  <a:lumMod val="50000"/>
                </a:schemeClr>
              </a:solidFill>
              <a:latin typeface="Calibri" pitchFamily="34" charset="0"/>
              <a:ea typeface="+mn-ea"/>
              <a:cs typeface="+mn-cs"/>
            </a:rPr>
            <a:t>temps partiel thérapeutique</a:t>
          </a:r>
        </a:p>
        <a:p>
          <a:pPr algn="l">
            <a:lnSpc>
              <a:spcPts val="1200"/>
            </a:lnSpc>
          </a:pPr>
          <a:r>
            <a:rPr lang="fr-FR" sz="900" b="0">
              <a:solidFill>
                <a:schemeClr val="bg1">
                  <a:lumMod val="50000"/>
                </a:schemeClr>
              </a:solidFill>
              <a:latin typeface="Calibri" pitchFamily="34" charset="0"/>
              <a:ea typeface="+mn-ea"/>
              <a:cs typeface="+mn-cs"/>
            </a:rPr>
            <a:t>      -</a:t>
          </a:r>
          <a:r>
            <a:rPr lang="fr-FR" sz="900" b="0" baseline="0">
              <a:solidFill>
                <a:schemeClr val="bg1">
                  <a:lumMod val="50000"/>
                </a:schemeClr>
              </a:solidFill>
              <a:latin typeface="Calibri" pitchFamily="34" charset="0"/>
              <a:ea typeface="+mn-ea"/>
              <a:cs typeface="+mn-cs"/>
            </a:rPr>
            <a:t> </a:t>
          </a:r>
          <a:r>
            <a:rPr lang="fr-FR" sz="900" b="0">
              <a:solidFill>
                <a:schemeClr val="bg1">
                  <a:lumMod val="50000"/>
                </a:schemeClr>
              </a:solidFill>
              <a:latin typeface="Calibri" pitchFamily="34" charset="0"/>
              <a:ea typeface="+mn-ea"/>
              <a:cs typeface="+mn-cs"/>
            </a:rPr>
            <a:t>visites post-exposition</a:t>
          </a:r>
        </a:p>
        <a:p>
          <a:pPr algn="l"/>
          <a:r>
            <a:rPr lang="fr-FR" sz="900" b="0">
              <a:solidFill>
                <a:schemeClr val="bg1">
                  <a:lumMod val="50000"/>
                </a:schemeClr>
              </a:solidFill>
              <a:latin typeface="Calibri" pitchFamily="34" charset="0"/>
              <a:ea typeface="+mn-ea"/>
              <a:cs typeface="+mn-cs"/>
            </a:rPr>
            <a:t>      - mal-être au poste de travail</a:t>
          </a:r>
        </a:p>
        <a:p>
          <a:pPr algn="l"/>
          <a:r>
            <a:rPr lang="fr-FR" sz="900" b="0">
              <a:solidFill>
                <a:schemeClr val="bg1">
                  <a:lumMod val="50000"/>
                </a:schemeClr>
              </a:solidFill>
              <a:latin typeface="Calibri" pitchFamily="34" charset="0"/>
              <a:ea typeface="+mn-ea"/>
              <a:cs typeface="+mn-cs"/>
            </a:rPr>
            <a:t>      - certificats (handicap, sport...)</a:t>
          </a:r>
        </a:p>
        <a:p>
          <a:pPr algn="l">
            <a:lnSpc>
              <a:spcPts val="1200"/>
            </a:lnSpc>
          </a:pPr>
          <a:endParaRPr lang="fr-FR" sz="1050" b="0">
            <a:solidFill>
              <a:schemeClr val="bg1">
                <a:lumMod val="50000"/>
              </a:schemeClr>
            </a:solidFill>
            <a:latin typeface="Calibri" pitchFamily="34" charset="0"/>
            <a:ea typeface="+mn-ea"/>
            <a:cs typeface="+mn-cs"/>
          </a:endParaRPr>
        </a:p>
        <a:p>
          <a:pPr algn="r"/>
          <a:endParaRPr lang="fr-FR" sz="1050" b="0">
            <a:solidFill>
              <a:schemeClr val="bg1">
                <a:lumMod val="50000"/>
              </a:schemeClr>
            </a:solidFill>
            <a:latin typeface="Calibri" pitchFamily="34" charset="0"/>
            <a:ea typeface="+mn-ea"/>
            <a:cs typeface="+mn-cs"/>
          </a:endParaRPr>
        </a:p>
      </xdr:txBody>
    </xdr:sp>
    <xdr:clientData/>
  </xdr:twoCellAnchor>
  <xdr:twoCellAnchor>
    <xdr:from>
      <xdr:col>21</xdr:col>
      <xdr:colOff>93345</xdr:colOff>
      <xdr:row>33</xdr:row>
      <xdr:rowOff>104775</xdr:rowOff>
    </xdr:from>
    <xdr:to>
      <xdr:col>26</xdr:col>
      <xdr:colOff>409575</xdr:colOff>
      <xdr:row>37</xdr:row>
      <xdr:rowOff>47625</xdr:rowOff>
    </xdr:to>
    <xdr:sp macro="" textlink="">
      <xdr:nvSpPr>
        <xdr:cNvPr id="6" name="ZoneTexte 5">
          <a:extLst>
            <a:ext uri="{FF2B5EF4-FFF2-40B4-BE49-F238E27FC236}">
              <a16:creationId xmlns:a16="http://schemas.microsoft.com/office/drawing/2014/main" id="{00000000-0008-0000-2100-000006000000}"/>
            </a:ext>
          </a:extLst>
        </xdr:cNvPr>
        <xdr:cNvSpPr txBox="1"/>
      </xdr:nvSpPr>
      <xdr:spPr>
        <a:xfrm>
          <a:off x="12485370" y="4591050"/>
          <a:ext cx="4307205" cy="419100"/>
        </a:xfrm>
        <a:prstGeom prst="rect">
          <a:avLst/>
        </a:prstGeom>
        <a:no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ts val="1000"/>
            </a:lnSpc>
          </a:pPr>
          <a:endParaRPr lang="fr-FR" sz="900" b="0">
            <a:solidFill>
              <a:schemeClr val="bg1">
                <a:lumMod val="50000"/>
              </a:schemeClr>
            </a:solidFill>
            <a:latin typeface="Calibri" pitchFamily="34" charset="0"/>
            <a:ea typeface="+mn-ea"/>
            <a:cs typeface="+mn-cs"/>
          </a:endParaRPr>
        </a:p>
      </xdr:txBody>
    </xdr:sp>
    <xdr:clientData/>
  </xdr:twoCellAnchor>
  <xdr:twoCellAnchor>
    <xdr:from>
      <xdr:col>0</xdr:col>
      <xdr:colOff>60960</xdr:colOff>
      <xdr:row>39</xdr:row>
      <xdr:rowOff>60960</xdr:rowOff>
    </xdr:from>
    <xdr:to>
      <xdr:col>5</xdr:col>
      <xdr:colOff>609599</xdr:colOff>
      <xdr:row>48</xdr:row>
      <xdr:rowOff>76200</xdr:rowOff>
    </xdr:to>
    <xdr:sp macro="" textlink="">
      <xdr:nvSpPr>
        <xdr:cNvPr id="7" name="ZoneTexte 6">
          <a:extLst>
            <a:ext uri="{FF2B5EF4-FFF2-40B4-BE49-F238E27FC236}">
              <a16:creationId xmlns:a16="http://schemas.microsoft.com/office/drawing/2014/main" id="{00000000-0008-0000-2100-000007000000}"/>
            </a:ext>
          </a:extLst>
        </xdr:cNvPr>
        <xdr:cNvSpPr txBox="1"/>
      </xdr:nvSpPr>
      <xdr:spPr>
        <a:xfrm>
          <a:off x="60960" y="5033010"/>
          <a:ext cx="3710939" cy="1329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fr-FR" sz="1000" b="0">
              <a:solidFill>
                <a:schemeClr val="bg1">
                  <a:lumMod val="50000"/>
                </a:schemeClr>
              </a:solidFill>
              <a:latin typeface="Calibri" pitchFamily="34" charset="0"/>
              <a:ea typeface="+mn-ea"/>
              <a:cs typeface="+mn-cs"/>
            </a:rPr>
            <a:t>Le médecin de prévention participe aux formations des personnels sur les thèmes suivants : Risques</a:t>
          </a:r>
          <a:r>
            <a:rPr lang="fr-FR" sz="1000" b="0" baseline="0">
              <a:solidFill>
                <a:schemeClr val="bg1">
                  <a:lumMod val="50000"/>
                </a:schemeClr>
              </a:solidFill>
              <a:latin typeface="Calibri" pitchFamily="34" charset="0"/>
              <a:ea typeface="+mn-ea"/>
              <a:cs typeface="+mn-cs"/>
            </a:rPr>
            <a:t> psycho-sociaux</a:t>
          </a:r>
          <a:r>
            <a:rPr lang="fr-FR" sz="1000" b="0">
              <a:solidFill>
                <a:schemeClr val="bg1">
                  <a:lumMod val="50000"/>
                </a:schemeClr>
              </a:solidFill>
              <a:latin typeface="Calibri" pitchFamily="34" charset="0"/>
              <a:ea typeface="+mn-ea"/>
              <a:cs typeface="+mn-cs"/>
            </a:rPr>
            <a:t> - Travail sur écran - Prévention des troubles</a:t>
          </a:r>
          <a:r>
            <a:rPr lang="fr-FR" sz="1000" b="0" baseline="0">
              <a:solidFill>
                <a:schemeClr val="bg1">
                  <a:lumMod val="50000"/>
                </a:schemeClr>
              </a:solidFill>
              <a:latin typeface="Calibri" pitchFamily="34" charset="0"/>
              <a:ea typeface="+mn-ea"/>
              <a:cs typeface="+mn-cs"/>
            </a:rPr>
            <a:t> musculosquelettiques - Handicap - Exposition radiations ionisantes - risues sanitaire</a:t>
          </a:r>
          <a:endParaRPr lang="fr-FR" sz="1000" b="0" strike="sngStrike" baseline="0">
            <a:solidFill>
              <a:srgbClr val="FF0000"/>
            </a:solidFill>
            <a:latin typeface="Calibri" pitchFamily="34" charset="0"/>
            <a:ea typeface="+mn-ea"/>
            <a:cs typeface="+mn-cs"/>
          </a:endParaRPr>
        </a:p>
        <a:p>
          <a:pPr algn="l"/>
          <a:r>
            <a:rPr lang="fr-FR" sz="1000" b="0" baseline="0">
              <a:solidFill>
                <a:schemeClr val="bg1">
                  <a:lumMod val="50000"/>
                </a:schemeClr>
              </a:solidFill>
              <a:latin typeface="Calibri" pitchFamily="34" charset="0"/>
              <a:ea typeface="+mn-ea"/>
              <a:cs typeface="+mn-cs"/>
            </a:rPr>
            <a:t>Elle participe également à des groupes de travail : </a:t>
          </a:r>
          <a:r>
            <a:rPr lang="fr-FR" sz="1000" b="0" baseline="0">
              <a:solidFill>
                <a:srgbClr val="00B050"/>
              </a:solidFill>
              <a:latin typeface="Calibri" pitchFamily="34" charset="0"/>
              <a:ea typeface="+mn-ea"/>
              <a:cs typeface="+mn-cs"/>
            </a:rPr>
            <a:t>Veille sociale </a:t>
          </a:r>
          <a:r>
            <a:rPr lang="fr-FR" sz="1000" b="0" baseline="0">
              <a:solidFill>
                <a:schemeClr val="bg1">
                  <a:lumMod val="50000"/>
                </a:schemeClr>
              </a:solidFill>
              <a:latin typeface="Calibri" pitchFamily="34" charset="0"/>
              <a:ea typeface="+mn-ea"/>
              <a:cs typeface="+mn-cs"/>
            </a:rPr>
            <a:t>- Violences - Discrimations - Handicap</a:t>
          </a:r>
          <a:endParaRPr lang="fr-FR" sz="1000" b="0">
            <a:solidFill>
              <a:schemeClr val="bg1">
                <a:lumMod val="50000"/>
              </a:schemeClr>
            </a:solidFill>
            <a:latin typeface="Calibri" pitchFamily="34" charset="0"/>
            <a:ea typeface="+mn-ea"/>
            <a:cs typeface="+mn-cs"/>
          </a:endParaRPr>
        </a:p>
      </xdr:txBody>
    </xdr:sp>
    <xdr:clientData/>
  </xdr:twoCellAnchor>
  <xdr:twoCellAnchor>
    <xdr:from>
      <xdr:col>21</xdr:col>
      <xdr:colOff>57150</xdr:colOff>
      <xdr:row>4</xdr:row>
      <xdr:rowOff>38101</xdr:rowOff>
    </xdr:from>
    <xdr:to>
      <xdr:col>26</xdr:col>
      <xdr:colOff>485775</xdr:colOff>
      <xdr:row>10</xdr:row>
      <xdr:rowOff>38100</xdr:rowOff>
    </xdr:to>
    <xdr:sp macro="" textlink="">
      <xdr:nvSpPr>
        <xdr:cNvPr id="8" name="ZoneTexte 7">
          <a:extLst>
            <a:ext uri="{FF2B5EF4-FFF2-40B4-BE49-F238E27FC236}">
              <a16:creationId xmlns:a16="http://schemas.microsoft.com/office/drawing/2014/main" id="{00000000-0008-0000-2100-000008000000}"/>
            </a:ext>
          </a:extLst>
        </xdr:cNvPr>
        <xdr:cNvSpPr txBox="1"/>
      </xdr:nvSpPr>
      <xdr:spPr>
        <a:xfrm>
          <a:off x="12449175" y="714376"/>
          <a:ext cx="4419600" cy="761999"/>
        </a:xfrm>
        <a:prstGeom prst="rect">
          <a:avLst/>
        </a:prstGeom>
        <a:no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ts val="1000"/>
            </a:lnSpc>
            <a:spcBef>
              <a:spcPts val="0"/>
            </a:spcBef>
            <a:spcAft>
              <a:spcPts val="0"/>
            </a:spcAft>
            <a:buClrTx/>
            <a:buSzTx/>
            <a:buFontTx/>
            <a:buNone/>
            <a:tabLst/>
            <a:defRPr/>
          </a:pPr>
          <a:endParaRPr kumimoji="0" lang="fr-FR" sz="900" b="0" i="0" u="none" strike="noStrike" kern="0" cap="none" spc="0" normalizeH="0" baseline="0" noProof="0">
            <a:ln>
              <a:noFill/>
            </a:ln>
            <a:solidFill>
              <a:srgbClr val="00B050"/>
            </a:solidFill>
            <a:effectLst/>
            <a:uLnTx/>
            <a:uFillTx/>
            <a:latin typeface="Calibri" panose="020F0502020204030204"/>
            <a:ea typeface="+mn-ea"/>
            <a:cs typeface="+mn-cs"/>
          </a:endParaRPr>
        </a:p>
      </xdr:txBody>
    </xdr:sp>
    <xdr:clientData/>
  </xdr:twoCellAnchor>
  <xdr:twoCellAnchor>
    <xdr:from>
      <xdr:col>21</xdr:col>
      <xdr:colOff>38100</xdr:colOff>
      <xdr:row>16</xdr:row>
      <xdr:rowOff>53340</xdr:rowOff>
    </xdr:from>
    <xdr:to>
      <xdr:col>26</xdr:col>
      <xdr:colOff>457200</xdr:colOff>
      <xdr:row>21</xdr:row>
      <xdr:rowOff>0</xdr:rowOff>
    </xdr:to>
    <xdr:sp macro="" textlink="">
      <xdr:nvSpPr>
        <xdr:cNvPr id="9" name="ZoneTexte 8">
          <a:extLst>
            <a:ext uri="{FF2B5EF4-FFF2-40B4-BE49-F238E27FC236}">
              <a16:creationId xmlns:a16="http://schemas.microsoft.com/office/drawing/2014/main" id="{00000000-0008-0000-2100-000009000000}"/>
            </a:ext>
          </a:extLst>
        </xdr:cNvPr>
        <xdr:cNvSpPr txBox="1"/>
      </xdr:nvSpPr>
      <xdr:spPr>
        <a:xfrm>
          <a:off x="12430125" y="2244090"/>
          <a:ext cx="4410075" cy="661035"/>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fr-FR" sz="900" b="0" baseline="0">
            <a:solidFill>
              <a:srgbClr val="FF0000"/>
            </a:solidFill>
            <a:latin typeface="Calibri" pitchFamily="34" charset="0"/>
            <a:ea typeface="+mn-ea"/>
            <a:cs typeface="+mn-cs"/>
          </a:endParaRPr>
        </a:p>
      </xdr:txBody>
    </xdr:sp>
    <xdr:clientData/>
  </xdr:twoCellAnchor>
  <xdr:twoCellAnchor>
    <xdr:from>
      <xdr:col>21</xdr:col>
      <xdr:colOff>38101</xdr:colOff>
      <xdr:row>12</xdr:row>
      <xdr:rowOff>9525</xdr:rowOff>
    </xdr:from>
    <xdr:to>
      <xdr:col>26</xdr:col>
      <xdr:colOff>466725</xdr:colOff>
      <xdr:row>15</xdr:row>
      <xdr:rowOff>95250</xdr:rowOff>
    </xdr:to>
    <xdr:sp macro="" textlink="">
      <xdr:nvSpPr>
        <xdr:cNvPr id="11" name="ZoneTexte 10">
          <a:extLst>
            <a:ext uri="{FF2B5EF4-FFF2-40B4-BE49-F238E27FC236}">
              <a16:creationId xmlns:a16="http://schemas.microsoft.com/office/drawing/2014/main" id="{9FBD089F-2D9B-46D8-88AD-934D051C067E}"/>
            </a:ext>
          </a:extLst>
        </xdr:cNvPr>
        <xdr:cNvSpPr txBox="1"/>
      </xdr:nvSpPr>
      <xdr:spPr>
        <a:xfrm>
          <a:off x="12430126" y="1704975"/>
          <a:ext cx="441959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endParaRPr kumimoji="0" lang="fr-FR" sz="900" b="0" i="0" u="none" strike="noStrike" kern="0" cap="none" spc="0" normalizeH="0" baseline="0" noProof="0">
            <a:ln>
              <a:noFill/>
            </a:ln>
            <a:solidFill>
              <a:srgbClr val="00B050"/>
            </a:solidFill>
            <a:effectLst/>
            <a:uLnTx/>
            <a:uFillTx/>
            <a:latin typeface="Calibri" panose="020F0502020204030204"/>
            <a:ea typeface="+mn-ea"/>
            <a:cs typeface="+mn-cs"/>
          </a:endParaRPr>
        </a:p>
      </xdr:txBody>
    </xdr:sp>
    <xdr:clientData/>
  </xdr:twoCellAnchor>
  <xdr:twoCellAnchor>
    <xdr:from>
      <xdr:col>21</xdr:col>
      <xdr:colOff>95251</xdr:colOff>
      <xdr:row>28</xdr:row>
      <xdr:rowOff>47625</xdr:rowOff>
    </xdr:from>
    <xdr:to>
      <xdr:col>26</xdr:col>
      <xdr:colOff>371476</xdr:colOff>
      <xdr:row>32</xdr:row>
      <xdr:rowOff>66675</xdr:rowOff>
    </xdr:to>
    <xdr:sp macro="" textlink="">
      <xdr:nvSpPr>
        <xdr:cNvPr id="13" name="ZoneTexte 12">
          <a:extLst>
            <a:ext uri="{FF2B5EF4-FFF2-40B4-BE49-F238E27FC236}">
              <a16:creationId xmlns:a16="http://schemas.microsoft.com/office/drawing/2014/main" id="{D58EDA63-C2C9-4CC7-BE3B-23B346BD388B}"/>
            </a:ext>
          </a:extLst>
        </xdr:cNvPr>
        <xdr:cNvSpPr txBox="1"/>
      </xdr:nvSpPr>
      <xdr:spPr>
        <a:xfrm>
          <a:off x="12487276" y="3819525"/>
          <a:ext cx="42672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1000"/>
            </a:lnSpc>
            <a:spcBef>
              <a:spcPts val="0"/>
            </a:spcBef>
            <a:spcAft>
              <a:spcPts val="0"/>
            </a:spcAft>
            <a:buClrTx/>
            <a:buSzTx/>
            <a:buFontTx/>
            <a:buNone/>
            <a:tabLst/>
            <a:defRPr/>
          </a:pPr>
          <a:endParaRPr kumimoji="0" lang="fr-FR" sz="900" b="0" i="0" u="none" strike="noStrike" kern="0" cap="none" spc="0" normalizeH="0" baseline="0" noProof="0">
            <a:ln>
              <a:noFill/>
            </a:ln>
            <a:solidFill>
              <a:srgbClr val="00B050"/>
            </a:solidFill>
            <a:effectLst/>
            <a:uLnTx/>
            <a:uFillTx/>
            <a:latin typeface="Calibri" pitchFamily="34" charset="0"/>
            <a:ea typeface="+mn-ea"/>
            <a:cs typeface="+mn-cs"/>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465455</xdr:colOff>
      <xdr:row>38</xdr:row>
      <xdr:rowOff>136525</xdr:rowOff>
    </xdr:from>
    <xdr:to>
      <xdr:col>6</xdr:col>
      <xdr:colOff>395605</xdr:colOff>
      <xdr:row>53</xdr:row>
      <xdr:rowOff>115570</xdr:rowOff>
    </xdr:to>
    <xdr:graphicFrame macro="">
      <xdr:nvGraphicFramePr>
        <xdr:cNvPr id="13025634" name="Graphique 13">
          <a:extLst>
            <a:ext uri="{FF2B5EF4-FFF2-40B4-BE49-F238E27FC236}">
              <a16:creationId xmlns:a16="http://schemas.microsoft.com/office/drawing/2014/main" id="{00000000-0008-0000-2200-000062C1C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887730</xdr:colOff>
      <xdr:row>37</xdr:row>
      <xdr:rowOff>41910</xdr:rowOff>
    </xdr:from>
    <xdr:to>
      <xdr:col>16</xdr:col>
      <xdr:colOff>289560</xdr:colOff>
      <xdr:row>52</xdr:row>
      <xdr:rowOff>81915</xdr:rowOff>
    </xdr:to>
    <xdr:graphicFrame macro="">
      <xdr:nvGraphicFramePr>
        <xdr:cNvPr id="13025635" name="Graphique 4">
          <a:extLst>
            <a:ext uri="{FF2B5EF4-FFF2-40B4-BE49-F238E27FC236}">
              <a16:creationId xmlns:a16="http://schemas.microsoft.com/office/drawing/2014/main" id="{00000000-0008-0000-2200-000063C1C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47623</xdr:colOff>
      <xdr:row>9</xdr:row>
      <xdr:rowOff>95250</xdr:rowOff>
    </xdr:from>
    <xdr:to>
      <xdr:col>15</xdr:col>
      <xdr:colOff>452133</xdr:colOff>
      <xdr:row>16</xdr:row>
      <xdr:rowOff>28575</xdr:rowOff>
    </xdr:to>
    <xdr:sp macro="" textlink="">
      <xdr:nvSpPr>
        <xdr:cNvPr id="7" name="ZoneTexte 6">
          <a:extLst>
            <a:ext uri="{FF2B5EF4-FFF2-40B4-BE49-F238E27FC236}">
              <a16:creationId xmlns:a16="http://schemas.microsoft.com/office/drawing/2014/main" id="{00000000-0008-0000-2200-000007000000}"/>
            </a:ext>
          </a:extLst>
        </xdr:cNvPr>
        <xdr:cNvSpPr txBox="1"/>
      </xdr:nvSpPr>
      <xdr:spPr>
        <a:xfrm>
          <a:off x="47623" y="2381250"/>
          <a:ext cx="1085343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b="0" i="0" u="none" strike="noStrike">
              <a:solidFill>
                <a:schemeClr val="bg1">
                  <a:lumMod val="50000"/>
                </a:schemeClr>
              </a:solidFill>
              <a:effectLst/>
              <a:latin typeface="Calibri" panose="020F0502020204030204" pitchFamily="34" charset="0"/>
              <a:ea typeface="+mn-ea"/>
              <a:cs typeface="Calibri" panose="020F0502020204030204" pitchFamily="34" charset="0"/>
            </a:rPr>
            <a:t>Un budget Annuel de </a:t>
          </a:r>
          <a:r>
            <a:rPr lang="fr-FR" sz="1000" b="0" i="0" u="none" strike="noStrike">
              <a:solidFill>
                <a:srgbClr val="00B050"/>
              </a:solidFill>
              <a:effectLst/>
              <a:latin typeface="Calibri" panose="020F0502020204030204" pitchFamily="34" charset="0"/>
              <a:ea typeface="+mn-ea"/>
              <a:cs typeface="Calibri" panose="020F0502020204030204" pitchFamily="34" charset="0"/>
            </a:rPr>
            <a:t>133 665</a:t>
          </a:r>
          <a:r>
            <a:rPr lang="fr-FR" sz="1000" b="0" i="0" u="none" strike="noStrike">
              <a:solidFill>
                <a:schemeClr val="bg1">
                  <a:lumMod val="50000"/>
                </a:schemeClr>
              </a:solidFill>
              <a:effectLst/>
              <a:latin typeface="Calibri" panose="020F0502020204030204" pitchFamily="34" charset="0"/>
              <a:ea typeface="+mn-ea"/>
              <a:cs typeface="Calibri" panose="020F0502020204030204" pitchFamily="34" charset="0"/>
            </a:rPr>
            <a:t>€ (hors formations) réparti autour de </a:t>
          </a:r>
          <a:r>
            <a:rPr lang="fr-FR" sz="1000" b="0" i="0" u="none" strike="noStrike">
              <a:solidFill>
                <a:srgbClr val="00B050"/>
              </a:solidFill>
              <a:effectLst/>
              <a:latin typeface="Calibri" panose="020F0502020204030204" pitchFamily="34" charset="0"/>
              <a:ea typeface="+mn-ea"/>
              <a:cs typeface="Calibri" panose="020F0502020204030204" pitchFamily="34" charset="0"/>
            </a:rPr>
            <a:t>3</a:t>
          </a:r>
          <a:r>
            <a:rPr lang="fr-FR" sz="1000" b="0" i="0" u="none" strike="noStrike">
              <a:solidFill>
                <a:schemeClr val="bg1">
                  <a:lumMod val="50000"/>
                </a:schemeClr>
              </a:solidFill>
              <a:effectLst/>
              <a:latin typeface="Calibri" panose="020F0502020204030204" pitchFamily="34" charset="0"/>
              <a:ea typeface="+mn-ea"/>
              <a:cs typeface="Calibri" panose="020F0502020204030204" pitchFamily="34" charset="0"/>
            </a:rPr>
            <a:t> axes : </a:t>
          </a:r>
        </a:p>
        <a:p>
          <a:endParaRPr lang="fr-FR" sz="1000" b="0" i="0" u="none" strike="noStrike">
            <a:solidFill>
              <a:schemeClr val="bg1">
                <a:lumMod val="50000"/>
              </a:schemeClr>
            </a:solidFill>
            <a:effectLst/>
            <a:latin typeface="Calibri" panose="020F0502020204030204" pitchFamily="34" charset="0"/>
            <a:ea typeface="+mn-ea"/>
            <a:cs typeface="Calibri" panose="020F0502020204030204" pitchFamily="34" charset="0"/>
          </a:endParaRPr>
        </a:p>
        <a:p>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 </a:t>
          </a:r>
          <a:r>
            <a:rPr lang="fr-FR" sz="900" b="0" i="0">
              <a:solidFill>
                <a:schemeClr val="bg1">
                  <a:lumMod val="50000"/>
                </a:schemeClr>
              </a:solidFill>
              <a:effectLst/>
              <a:latin typeface="Calibri" panose="020F0502020204030204" pitchFamily="34" charset="0"/>
              <a:ea typeface="+mn-ea"/>
              <a:cs typeface="+mn-cs"/>
            </a:rPr>
            <a:t>Démarche Globale d'évaluation et de prévention des risques professionnels </a:t>
          </a:r>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(gestion</a:t>
          </a:r>
          <a:r>
            <a:rPr lang="fr-FR" sz="900" b="0" i="0" u="none" strike="noStrike" baseline="0">
              <a:solidFill>
                <a:schemeClr val="bg1">
                  <a:lumMod val="50000"/>
                </a:schemeClr>
              </a:solidFill>
              <a:effectLst/>
              <a:latin typeface="Calibri" panose="020F0502020204030204" pitchFamily="34" charset="0"/>
              <a:ea typeface="+mn-ea"/>
              <a:cs typeface="Calibri" panose="020F0502020204030204" pitchFamily="34" charset="0"/>
            </a:rPr>
            <a:t> des déchets / </a:t>
          </a:r>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vérification des équipements : de ventilation - PSM/ Sorbonnes - de chute de hauteur - nacelle - défibrillateurs - appareils générateurs de RX - mesures polluants atmosphériques/ chimiques/ CEM/ Bruit...Achat d'EPI chute de hauteur)</a:t>
          </a:r>
          <a:r>
            <a:rPr lang="fr-FR" sz="900" b="0" i="0" u="none" strike="noStrike" baseline="0">
              <a:solidFill>
                <a:schemeClr val="bg1">
                  <a:lumMod val="50000"/>
                </a:schemeClr>
              </a:solidFill>
              <a:effectLst/>
              <a:latin typeface="Calibri" panose="020F0502020204030204" pitchFamily="34" charset="0"/>
              <a:ea typeface="+mn-ea"/>
              <a:cs typeface="Calibri" panose="020F0502020204030204" pitchFamily="34" charset="0"/>
            </a:rPr>
            <a:t> ;</a:t>
          </a:r>
          <a:endPar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endParaRPr>
        </a:p>
        <a:p>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 Organisation des situations d'urgence</a:t>
          </a:r>
          <a:r>
            <a:rPr lang="fr-FR" sz="900" b="0" i="0" u="none" strike="noStrike" baseline="0">
              <a:solidFill>
                <a:schemeClr val="bg1">
                  <a:lumMod val="50000"/>
                </a:schemeClr>
              </a:solidFill>
              <a:effectLst/>
              <a:latin typeface="Calibri" panose="020F0502020204030204" pitchFamily="34" charset="0"/>
              <a:ea typeface="+mn-ea"/>
              <a:cs typeface="Calibri" panose="020F0502020204030204" pitchFamily="34" charset="0"/>
            </a:rPr>
            <a:t> </a:t>
          </a:r>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 PPMS ;</a:t>
          </a:r>
        </a:p>
        <a:p>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 Investissements</a:t>
          </a:r>
          <a:r>
            <a:rPr lang="fr-FR" sz="900" b="0" i="0" u="none" strike="noStrike" baseline="0">
              <a:solidFill>
                <a:schemeClr val="bg1">
                  <a:lumMod val="50000"/>
                </a:schemeClr>
              </a:solidFill>
              <a:effectLst/>
              <a:latin typeface="Calibri" panose="020F0502020204030204" pitchFamily="34" charset="0"/>
              <a:ea typeface="+mn-ea"/>
              <a:cs typeface="Calibri" panose="020F0502020204030204" pitchFamily="34" charset="0"/>
            </a:rPr>
            <a:t> en hygiène et sécurité.</a:t>
          </a:r>
          <a:endPar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endParaRPr>
        </a:p>
      </xdr:txBody>
    </xdr:sp>
    <xdr:clientData/>
  </xdr:twoCellAnchor>
  <xdr:twoCellAnchor>
    <xdr:from>
      <xdr:col>0</xdr:col>
      <xdr:colOff>85725</xdr:colOff>
      <xdr:row>30</xdr:row>
      <xdr:rowOff>95250</xdr:rowOff>
    </xdr:from>
    <xdr:to>
      <xdr:col>5</xdr:col>
      <xdr:colOff>381000</xdr:colOff>
      <xdr:row>33</xdr:row>
      <xdr:rowOff>133350</xdr:rowOff>
    </xdr:to>
    <xdr:sp macro="" textlink="">
      <xdr:nvSpPr>
        <xdr:cNvPr id="8" name="ZoneTexte 7">
          <a:extLst>
            <a:ext uri="{FF2B5EF4-FFF2-40B4-BE49-F238E27FC236}">
              <a16:creationId xmlns:a16="http://schemas.microsoft.com/office/drawing/2014/main" id="{00000000-0008-0000-2200-000008000000}"/>
            </a:ext>
          </a:extLst>
        </xdr:cNvPr>
        <xdr:cNvSpPr txBox="1"/>
      </xdr:nvSpPr>
      <xdr:spPr>
        <a:xfrm>
          <a:off x="85725" y="6381750"/>
          <a:ext cx="3355975"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chemeClr val="bg1">
                  <a:lumMod val="50000"/>
                </a:schemeClr>
              </a:solidFill>
              <a:latin typeface="Calibri" panose="020F0502020204030204" pitchFamily="34" charset="0"/>
            </a:rPr>
            <a:t>Aucun signalement de danger grave et imminent sur </a:t>
          </a:r>
          <a:r>
            <a:rPr lang="fr-FR" sz="1000">
              <a:solidFill>
                <a:srgbClr val="00B050"/>
              </a:solidFill>
              <a:latin typeface="Calibri" panose="020F0502020204030204" pitchFamily="34" charset="0"/>
            </a:rPr>
            <a:t>2022</a:t>
          </a:r>
        </a:p>
        <a:p>
          <a:r>
            <a:rPr lang="fr-FR" sz="1000">
              <a:solidFill>
                <a:schemeClr val="bg1">
                  <a:lumMod val="50000"/>
                </a:schemeClr>
              </a:solidFill>
              <a:latin typeface="Calibri" panose="020F0502020204030204" pitchFamily="34" charset="0"/>
            </a:rPr>
            <a:t>Personne n'a exercé son droit de retrait en </a:t>
          </a:r>
          <a:r>
            <a:rPr lang="fr-FR" sz="1000">
              <a:solidFill>
                <a:srgbClr val="00B050"/>
              </a:solidFill>
              <a:latin typeface="Calibri" panose="020F0502020204030204" pitchFamily="34" charset="0"/>
              <a:ea typeface="+mn-ea"/>
              <a:cs typeface="+mn-cs"/>
            </a:rPr>
            <a:t>2022</a:t>
          </a:r>
        </a:p>
      </xdr:txBody>
    </xdr:sp>
    <xdr:clientData/>
  </xdr:twoCellAnchor>
  <xdr:twoCellAnchor>
    <xdr:from>
      <xdr:col>7</xdr:col>
      <xdr:colOff>661035</xdr:colOff>
      <xdr:row>29</xdr:row>
      <xdr:rowOff>419100</xdr:rowOff>
    </xdr:from>
    <xdr:to>
      <xdr:col>15</xdr:col>
      <xdr:colOff>15240</xdr:colOff>
      <xdr:row>33</xdr:row>
      <xdr:rowOff>129540</xdr:rowOff>
    </xdr:to>
    <xdr:sp macro="" textlink="">
      <xdr:nvSpPr>
        <xdr:cNvPr id="12" name="ZoneTexte 11">
          <a:extLst>
            <a:ext uri="{FF2B5EF4-FFF2-40B4-BE49-F238E27FC236}">
              <a16:creationId xmlns:a16="http://schemas.microsoft.com/office/drawing/2014/main" id="{00000000-0008-0000-2200-00000C000000}"/>
            </a:ext>
          </a:extLst>
        </xdr:cNvPr>
        <xdr:cNvSpPr txBox="1"/>
      </xdr:nvSpPr>
      <xdr:spPr>
        <a:xfrm>
          <a:off x="5337810" y="6391275"/>
          <a:ext cx="5126355" cy="6819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bg1">
                  <a:lumMod val="50000"/>
                </a:schemeClr>
              </a:solidFill>
              <a:latin typeface="Calibri" panose="020F0502020204030204" pitchFamily="34" charset="0"/>
            </a:rPr>
            <a:t>Tout fonctionnaire a un droit d'alerte et de retrait face à un danger</a:t>
          </a:r>
          <a:r>
            <a:rPr lang="fr-FR" sz="800" baseline="0">
              <a:solidFill>
                <a:schemeClr val="bg1">
                  <a:lumMod val="50000"/>
                </a:schemeClr>
              </a:solidFill>
              <a:latin typeface="Calibri" panose="020F0502020204030204" pitchFamily="34" charset="0"/>
            </a:rPr>
            <a:t> grave et imminent pour sa vie ou sa santé.</a:t>
          </a:r>
        </a:p>
        <a:p>
          <a:endParaRPr lang="fr-FR" sz="800" baseline="0">
            <a:solidFill>
              <a:schemeClr val="bg1">
                <a:lumMod val="50000"/>
              </a:schemeClr>
            </a:solidFill>
            <a:latin typeface="Calibri" panose="020F0502020204030204" pitchFamily="34" charset="0"/>
          </a:endParaRPr>
        </a:p>
        <a:p>
          <a:r>
            <a:rPr lang="fr-FR" sz="800" baseline="0">
              <a:solidFill>
                <a:schemeClr val="bg1">
                  <a:lumMod val="50000"/>
                </a:schemeClr>
              </a:solidFill>
              <a:latin typeface="Calibri" panose="020F0502020204030204" pitchFamily="34" charset="0"/>
            </a:rPr>
            <a:t>Cette faculté s'opère sous certaines conditions et dans le respect d'une procédure précise.</a:t>
          </a:r>
        </a:p>
        <a:p>
          <a:r>
            <a:rPr lang="fr-FR" sz="800" baseline="0">
              <a:solidFill>
                <a:schemeClr val="bg1">
                  <a:lumMod val="50000"/>
                </a:schemeClr>
              </a:solidFill>
              <a:latin typeface="Calibri" panose="020F0502020204030204" pitchFamily="34" charset="0"/>
            </a:rPr>
            <a:t>Décret  82-453 du 28 mai 1982 modifié art. 5-5 à 5-10.</a:t>
          </a:r>
          <a:endParaRPr lang="fr-FR" sz="800">
            <a:solidFill>
              <a:schemeClr val="bg1">
                <a:lumMod val="50000"/>
              </a:schemeClr>
            </a:solidFill>
            <a:latin typeface="Calibri" panose="020F0502020204030204" pitchFamily="34" charset="0"/>
          </a:endParaRPr>
        </a:p>
      </xdr:txBody>
    </xdr:sp>
    <xdr:clientData/>
  </xdr:twoCellAnchor>
  <xdr:twoCellAnchor>
    <xdr:from>
      <xdr:col>0</xdr:col>
      <xdr:colOff>300990</xdr:colOff>
      <xdr:row>72</xdr:row>
      <xdr:rowOff>209550</xdr:rowOff>
    </xdr:from>
    <xdr:to>
      <xdr:col>3</xdr:col>
      <xdr:colOff>428260</xdr:colOff>
      <xdr:row>73</xdr:row>
      <xdr:rowOff>171450</xdr:rowOff>
    </xdr:to>
    <xdr:sp macro="" textlink="">
      <xdr:nvSpPr>
        <xdr:cNvPr id="22" name="ZoneTexte 21">
          <a:extLst>
            <a:ext uri="{FF2B5EF4-FFF2-40B4-BE49-F238E27FC236}">
              <a16:creationId xmlns:a16="http://schemas.microsoft.com/office/drawing/2014/main" id="{00000000-0008-0000-2200-000016000000}"/>
            </a:ext>
          </a:extLst>
        </xdr:cNvPr>
        <xdr:cNvSpPr txBox="1"/>
      </xdr:nvSpPr>
      <xdr:spPr>
        <a:xfrm>
          <a:off x="300990" y="13182600"/>
          <a:ext cx="2013220" cy="127635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chemeClr val="bg1">
                  <a:lumMod val="50000"/>
                </a:schemeClr>
              </a:solidFill>
              <a:effectLst/>
              <a:latin typeface="Calibri" panose="020F0502020204030204" pitchFamily="34" charset="0"/>
              <a:ea typeface="+mn-ea"/>
              <a:cs typeface="+mn-cs"/>
            </a:rPr>
            <a:t>Document Unique d'Evaluation des Risques Professionnels (DUER)</a:t>
          </a:r>
          <a:endParaRPr lang="fr-FR" sz="1200" b="0" cap="none" spc="0">
            <a:ln>
              <a:noFill/>
            </a:ln>
            <a:solidFill>
              <a:schemeClr val="bg1">
                <a:lumMod val="50000"/>
              </a:schemeClr>
            </a:solidFill>
            <a:effectLst/>
            <a:latin typeface="Calibri" pitchFamily="34" charset="0"/>
            <a:ea typeface="+mn-ea"/>
            <a:cs typeface="+mn-cs"/>
          </a:endParaRPr>
        </a:p>
      </xdr:txBody>
    </xdr:sp>
    <xdr:clientData/>
  </xdr:twoCellAnchor>
  <xdr:twoCellAnchor>
    <xdr:from>
      <xdr:col>0</xdr:col>
      <xdr:colOff>281940</xdr:colOff>
      <xdr:row>73</xdr:row>
      <xdr:rowOff>255270</xdr:rowOff>
    </xdr:from>
    <xdr:to>
      <xdr:col>3</xdr:col>
      <xdr:colOff>392163</xdr:colOff>
      <xdr:row>74</xdr:row>
      <xdr:rowOff>495300</xdr:rowOff>
    </xdr:to>
    <xdr:sp macro="" textlink="">
      <xdr:nvSpPr>
        <xdr:cNvPr id="23" name="ZoneTexte 22">
          <a:extLst>
            <a:ext uri="{FF2B5EF4-FFF2-40B4-BE49-F238E27FC236}">
              <a16:creationId xmlns:a16="http://schemas.microsoft.com/office/drawing/2014/main" id="{00000000-0008-0000-2200-000017000000}"/>
            </a:ext>
          </a:extLst>
        </xdr:cNvPr>
        <xdr:cNvSpPr txBox="1"/>
      </xdr:nvSpPr>
      <xdr:spPr>
        <a:xfrm>
          <a:off x="281940" y="15982950"/>
          <a:ext cx="1916163" cy="50673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chemeClr val="bg1">
                  <a:lumMod val="50000"/>
                </a:schemeClr>
              </a:solidFill>
              <a:effectLst/>
              <a:latin typeface="Calibri" panose="020F0502020204030204" pitchFamily="34" charset="0"/>
              <a:ea typeface="+mn-ea"/>
              <a:cs typeface="+mn-cs"/>
            </a:rPr>
            <a:t>Risques psychosociaux</a:t>
          </a:r>
          <a:endParaRPr lang="fr-FR" sz="1200" b="0" cap="none" spc="0">
            <a:ln>
              <a:noFill/>
            </a:ln>
            <a:solidFill>
              <a:schemeClr val="bg1">
                <a:lumMod val="50000"/>
              </a:schemeClr>
            </a:solidFill>
            <a:effectLst/>
            <a:latin typeface="Calibri" pitchFamily="34" charset="0"/>
            <a:ea typeface="+mn-ea"/>
            <a:cs typeface="+mn-cs"/>
          </a:endParaRPr>
        </a:p>
      </xdr:txBody>
    </xdr:sp>
    <xdr:clientData/>
  </xdr:twoCellAnchor>
  <xdr:twoCellAnchor>
    <xdr:from>
      <xdr:col>8</xdr:col>
      <xdr:colOff>144780</xdr:colOff>
      <xdr:row>52</xdr:row>
      <xdr:rowOff>129538</xdr:rowOff>
    </xdr:from>
    <xdr:to>
      <xdr:col>15</xdr:col>
      <xdr:colOff>632460</xdr:colOff>
      <xdr:row>55</xdr:row>
      <xdr:rowOff>129539</xdr:rowOff>
    </xdr:to>
    <xdr:sp macro="" textlink="">
      <xdr:nvSpPr>
        <xdr:cNvPr id="18" name="ZoneTexte 17">
          <a:extLst>
            <a:ext uri="{FF2B5EF4-FFF2-40B4-BE49-F238E27FC236}">
              <a16:creationId xmlns:a16="http://schemas.microsoft.com/office/drawing/2014/main" id="{00000000-0008-0000-2200-000012000000}"/>
            </a:ext>
          </a:extLst>
        </xdr:cNvPr>
        <xdr:cNvSpPr txBox="1"/>
      </xdr:nvSpPr>
      <xdr:spPr>
        <a:xfrm>
          <a:off x="5768340" y="10111738"/>
          <a:ext cx="4983480" cy="3886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b="0">
              <a:solidFill>
                <a:schemeClr val="bg1">
                  <a:lumMod val="50000"/>
                </a:schemeClr>
              </a:solidFill>
              <a:effectLst/>
              <a:latin typeface="Calibri" panose="020F0502020204030204" pitchFamily="34" charset="0"/>
              <a:ea typeface="+mn-ea"/>
              <a:cs typeface="+mn-cs"/>
            </a:rPr>
            <a:t>Le périmètre des données d'absences suite</a:t>
          </a:r>
          <a:r>
            <a:rPr lang="fr-FR" sz="800" b="0" baseline="0">
              <a:solidFill>
                <a:schemeClr val="bg1">
                  <a:lumMod val="50000"/>
                </a:schemeClr>
              </a:solidFill>
              <a:effectLst/>
              <a:latin typeface="Calibri" panose="020F0502020204030204" pitchFamily="34" charset="0"/>
              <a:ea typeface="+mn-ea"/>
              <a:cs typeface="+mn-cs"/>
            </a:rPr>
            <a:t> à un accident de service ou de trajet du bilan social est différent du périmètre pris en compte dans le rapport du service d'Hygiène et de sécurité.</a:t>
          </a:r>
        </a:p>
      </xdr:txBody>
    </xdr:sp>
    <xdr:clientData/>
  </xdr:twoCellAnchor>
  <xdr:twoCellAnchor>
    <xdr:from>
      <xdr:col>0</xdr:col>
      <xdr:colOff>34291</xdr:colOff>
      <xdr:row>18</xdr:row>
      <xdr:rowOff>32386</xdr:rowOff>
    </xdr:from>
    <xdr:to>
      <xdr:col>11</xdr:col>
      <xdr:colOff>304801</xdr:colOff>
      <xdr:row>29</xdr:row>
      <xdr:rowOff>266700</xdr:rowOff>
    </xdr:to>
    <xdr:sp macro="" textlink="">
      <xdr:nvSpPr>
        <xdr:cNvPr id="19" name="ZoneTexte 18">
          <a:extLst>
            <a:ext uri="{FF2B5EF4-FFF2-40B4-BE49-F238E27FC236}">
              <a16:creationId xmlns:a16="http://schemas.microsoft.com/office/drawing/2014/main" id="{00000000-0008-0000-2200-000013000000}"/>
            </a:ext>
          </a:extLst>
        </xdr:cNvPr>
        <xdr:cNvSpPr txBox="1"/>
      </xdr:nvSpPr>
      <xdr:spPr>
        <a:xfrm>
          <a:off x="34291" y="4118611"/>
          <a:ext cx="8538210" cy="21202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0" i="0" strike="noStrike" baseline="0">
              <a:solidFill>
                <a:schemeClr val="bg1">
                  <a:lumMod val="50000"/>
                </a:schemeClr>
              </a:solidFill>
              <a:effectLst/>
              <a:latin typeface="Calibri" panose="020F0502020204030204" pitchFamily="34" charset="0"/>
              <a:ea typeface="+mn-ea"/>
              <a:cs typeface="+mn-cs"/>
            </a:rPr>
            <a:t>Poursuite de l'investissement des membres du CHSCT avec une participation active des membres </a:t>
          </a:r>
          <a:r>
            <a:rPr lang="fr-FR" sz="900" b="0" i="0" strike="noStrike" baseline="0">
              <a:solidFill>
                <a:srgbClr val="00B050"/>
              </a:solidFill>
              <a:effectLst/>
              <a:latin typeface="Calibri" panose="020F0502020204030204" pitchFamily="34" charset="0"/>
              <a:ea typeface="+mn-ea"/>
              <a:cs typeface="+mn-cs"/>
            </a:rPr>
            <a:t>dans des groupes relevant de leurs compétences </a:t>
          </a:r>
          <a:r>
            <a:rPr lang="fr-FR" sz="900" b="0" i="0" strike="noStrike" baseline="0">
              <a:solidFill>
                <a:schemeClr val="bg1">
                  <a:lumMod val="50000"/>
                </a:schemeClr>
              </a:solidFill>
              <a:effectLst/>
              <a:latin typeface="Calibri" panose="020F0502020204030204" pitchFamily="34" charset="0"/>
              <a:ea typeface="+mn-ea"/>
              <a:cs typeface="+mn-cs"/>
            </a:rPr>
            <a:t>:</a:t>
          </a:r>
        </a:p>
        <a:p>
          <a:r>
            <a:rPr lang="fr-FR" sz="900" b="0" i="0" strike="noStrike" baseline="0">
              <a:solidFill>
                <a:srgbClr val="00B050"/>
              </a:solidFill>
              <a:effectLst/>
              <a:latin typeface="Calibri" panose="020F0502020204030204" pitchFamily="34" charset="0"/>
              <a:ea typeface="+mn-ea"/>
              <a:cs typeface="+mn-cs"/>
            </a:rPr>
            <a:t>- Implication et participation de membres du CHSCT dans la Cellule de Veille Sociale (réunion mensuelle et entretiens);</a:t>
          </a:r>
        </a:p>
        <a:p>
          <a:r>
            <a:rPr lang="fr-FR" sz="900" b="0" i="0" strike="noStrike" baseline="0">
              <a:solidFill>
                <a:srgbClr val="00B050"/>
              </a:solidFill>
              <a:effectLst/>
              <a:latin typeface="Calibri" panose="020F0502020204030204" pitchFamily="34" charset="0"/>
              <a:ea typeface="+mn-ea"/>
              <a:cs typeface="+mn-cs"/>
            </a:rPr>
            <a:t>- Organisation de 5 réunions de CHCST sur 2022;</a:t>
          </a:r>
        </a:p>
        <a:p>
          <a:r>
            <a:rPr lang="fr-FR" sz="900" b="0" i="0" strike="noStrike" baseline="0">
              <a:solidFill>
                <a:srgbClr val="00B050"/>
              </a:solidFill>
              <a:effectLst/>
              <a:latin typeface="Calibri" panose="020F0502020204030204" pitchFamily="34" charset="0"/>
              <a:ea typeface="+mn-ea"/>
              <a:cs typeface="+mn-cs"/>
            </a:rPr>
            <a:t>- Implication et participation des membres dans le CVSSH</a:t>
          </a:r>
        </a:p>
        <a:p>
          <a:r>
            <a:rPr lang="fr-FR" sz="900" b="0" i="0" strike="noStrike" baseline="0">
              <a:solidFill>
                <a:srgbClr val="00B050"/>
              </a:solidFill>
              <a:effectLst/>
              <a:latin typeface="Calibri" panose="020F0502020204030204" pitchFamily="34" charset="0"/>
              <a:ea typeface="+mn-ea"/>
              <a:cs typeface="+mn-cs"/>
            </a:rPr>
            <a:t>- Participation ua groupe de travail sur la charte mail</a:t>
          </a:r>
        </a:p>
        <a:p>
          <a:r>
            <a:rPr lang="fr-FR" sz="900" b="0" i="0" strike="noStrike" baseline="0">
              <a:solidFill>
                <a:srgbClr val="00B050"/>
              </a:solidFill>
              <a:effectLst/>
              <a:latin typeface="Calibri" panose="020F0502020204030204" pitchFamily="34" charset="0"/>
              <a:ea typeface="+mn-ea"/>
              <a:cs typeface="+mn-cs"/>
            </a:rPr>
            <a:t>- Participation et implication dans le groupe projet QVCT.</a:t>
          </a:r>
        </a:p>
        <a:p>
          <a:r>
            <a:rPr lang="fr-FR" sz="900" b="0" i="0" strike="noStrike" baseline="0">
              <a:solidFill>
                <a:srgbClr val="00B050"/>
              </a:solidFill>
              <a:effectLst/>
              <a:latin typeface="Calibri" panose="020F0502020204030204" pitchFamily="34" charset="0"/>
              <a:ea typeface="+mn-ea"/>
              <a:cs typeface="+mn-cs"/>
            </a:rPr>
            <a:t>- Invitation aux réunions sécurité et chantier Tréfilerie</a:t>
          </a:r>
        </a:p>
      </xdr:txBody>
    </xdr:sp>
    <xdr:clientData/>
  </xdr:twoCellAnchor>
  <xdr:twoCellAnchor>
    <xdr:from>
      <xdr:col>0</xdr:col>
      <xdr:colOff>352425</xdr:colOff>
      <xdr:row>67</xdr:row>
      <xdr:rowOff>171449</xdr:rowOff>
    </xdr:from>
    <xdr:to>
      <xdr:col>3</xdr:col>
      <xdr:colOff>479695</xdr:colOff>
      <xdr:row>72</xdr:row>
      <xdr:rowOff>85724</xdr:rowOff>
    </xdr:to>
    <xdr:sp macro="" textlink="">
      <xdr:nvSpPr>
        <xdr:cNvPr id="20" name="ZoneTexte 19">
          <a:extLst>
            <a:ext uri="{FF2B5EF4-FFF2-40B4-BE49-F238E27FC236}">
              <a16:creationId xmlns:a16="http://schemas.microsoft.com/office/drawing/2014/main" id="{00000000-0008-0000-2200-000014000000}"/>
            </a:ext>
          </a:extLst>
        </xdr:cNvPr>
        <xdr:cNvSpPr txBox="1"/>
      </xdr:nvSpPr>
      <xdr:spPr>
        <a:xfrm>
          <a:off x="352425" y="12287249"/>
          <a:ext cx="2013220" cy="7715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chemeClr val="bg1">
                  <a:lumMod val="50000"/>
                </a:schemeClr>
              </a:solidFill>
              <a:effectLst/>
              <a:latin typeface="Calibri" panose="020F0502020204030204" pitchFamily="34" charset="0"/>
              <a:ea typeface="+mn-ea"/>
              <a:cs typeface="+mn-cs"/>
            </a:rPr>
            <a:t>Faits marquants</a:t>
          </a:r>
        </a:p>
      </xdr:txBody>
    </xdr:sp>
    <xdr:clientData/>
  </xdr:twoCellAnchor>
  <xdr:twoCellAnchor>
    <xdr:from>
      <xdr:col>0</xdr:col>
      <xdr:colOff>28574</xdr:colOff>
      <xdr:row>55</xdr:row>
      <xdr:rowOff>85725</xdr:rowOff>
    </xdr:from>
    <xdr:to>
      <xdr:col>8</xdr:col>
      <xdr:colOff>129539</xdr:colOff>
      <xdr:row>63</xdr:row>
      <xdr:rowOff>131445</xdr:rowOff>
    </xdr:to>
    <xdr:sp macro="" textlink="">
      <xdr:nvSpPr>
        <xdr:cNvPr id="26" name="ZoneTexte 25">
          <a:extLst>
            <a:ext uri="{FF2B5EF4-FFF2-40B4-BE49-F238E27FC236}">
              <a16:creationId xmlns:a16="http://schemas.microsoft.com/office/drawing/2014/main" id="{00000000-0008-0000-2200-00001A000000}"/>
            </a:ext>
          </a:extLst>
        </xdr:cNvPr>
        <xdr:cNvSpPr txBox="1"/>
      </xdr:nvSpPr>
      <xdr:spPr>
        <a:xfrm>
          <a:off x="28574" y="11096625"/>
          <a:ext cx="5949315" cy="11887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baseline="0">
              <a:solidFill>
                <a:srgbClr val="00B050"/>
              </a:solidFill>
              <a:latin typeface="Calibri" panose="020F0502020204030204" pitchFamily="34" charset="0"/>
            </a:rPr>
            <a:t>18</a:t>
          </a:r>
          <a:r>
            <a:rPr lang="fr-FR" sz="1050" baseline="0">
              <a:solidFill>
                <a:schemeClr val="bg1">
                  <a:lumMod val="50000"/>
                </a:schemeClr>
              </a:solidFill>
              <a:latin typeface="Calibri" panose="020F0502020204030204" pitchFamily="34" charset="0"/>
            </a:rPr>
            <a:t> accidents de service ou de trajet n'ont pas occasionné d'arrêt de travail</a:t>
          </a:r>
          <a:r>
            <a:rPr lang="fr-FR" sz="1000" baseline="0">
              <a:solidFill>
                <a:schemeClr val="bg1">
                  <a:lumMod val="50000"/>
                </a:schemeClr>
              </a:solidFill>
              <a:latin typeface="Calibri" panose="020F0502020204030204" pitchFamily="34" charset="0"/>
            </a:rPr>
            <a:t>.</a:t>
          </a:r>
        </a:p>
        <a:p>
          <a:r>
            <a:rPr lang="fr-FR" sz="1050" baseline="0">
              <a:solidFill>
                <a:srgbClr val="00B050"/>
              </a:solidFill>
              <a:latin typeface="Calibri" panose="020F0502020204030204" pitchFamily="34" charset="0"/>
              <a:ea typeface="+mn-ea"/>
              <a:cs typeface="+mn-cs"/>
            </a:rPr>
            <a:t>1,5</a:t>
          </a:r>
          <a:r>
            <a:rPr lang="fr-FR" sz="1050" baseline="0">
              <a:solidFill>
                <a:srgbClr val="FF0000"/>
              </a:solidFill>
              <a:latin typeface="Calibri" panose="020F0502020204030204" pitchFamily="34" charset="0"/>
              <a:ea typeface="+mn-ea"/>
              <a:cs typeface="+mn-cs"/>
            </a:rPr>
            <a:t> </a:t>
          </a:r>
          <a:r>
            <a:rPr lang="fr-FR" sz="1050" baseline="0">
              <a:solidFill>
                <a:schemeClr val="bg1">
                  <a:lumMod val="50000"/>
                </a:schemeClr>
              </a:solidFill>
              <a:latin typeface="Calibri" panose="020F0502020204030204" pitchFamily="34" charset="0"/>
              <a:ea typeface="+mn-ea"/>
              <a:cs typeface="+mn-cs"/>
            </a:rPr>
            <a:t>%</a:t>
          </a:r>
          <a:r>
            <a:rPr lang="fr-FR" sz="900" baseline="0">
              <a:solidFill>
                <a:schemeClr val="bg1">
                  <a:lumMod val="50000"/>
                </a:schemeClr>
              </a:solidFill>
              <a:latin typeface="Calibri" panose="020F0502020204030204" pitchFamily="34" charset="0"/>
            </a:rPr>
            <a:t> </a:t>
          </a:r>
          <a:r>
            <a:rPr lang="fr-FR" sz="1000" baseline="0">
              <a:solidFill>
                <a:schemeClr val="bg1">
                  <a:lumMod val="50000"/>
                </a:schemeClr>
              </a:solidFill>
              <a:latin typeface="Calibri" panose="020F0502020204030204" pitchFamily="34" charset="0"/>
            </a:rPr>
            <a:t>des personnels ont été victime d'un accident de travail/ service ou trajet. </a:t>
          </a:r>
        </a:p>
        <a:p>
          <a:r>
            <a:rPr lang="fr-FR" sz="1050" baseline="0">
              <a:solidFill>
                <a:schemeClr val="bg1">
                  <a:lumMod val="50000"/>
                </a:schemeClr>
              </a:solidFill>
              <a:latin typeface="Calibri" panose="020F0502020204030204" pitchFamily="34" charset="0"/>
              <a:ea typeface="+mn-ea"/>
              <a:cs typeface="+mn-cs"/>
            </a:rPr>
            <a:t>Les principales circonstances des accidents de travail ou de service correspondent soit à des chutes de plain pied, des heurts, des manutentions ou des projections (</a:t>
          </a:r>
          <a:r>
            <a:rPr lang="fr-FR" sz="1050" baseline="0">
              <a:solidFill>
                <a:srgbClr val="00B050"/>
              </a:solidFill>
              <a:latin typeface="Calibri" panose="020F0502020204030204" pitchFamily="34" charset="0"/>
              <a:ea typeface="+mn-ea"/>
              <a:cs typeface="+mn-cs"/>
            </a:rPr>
            <a:t>72</a:t>
          </a:r>
          <a:r>
            <a:rPr lang="fr-FR" sz="1050" baseline="0">
              <a:solidFill>
                <a:schemeClr val="bg1">
                  <a:lumMod val="50000"/>
                </a:schemeClr>
              </a:solidFill>
              <a:latin typeface="Calibri" panose="020F0502020204030204" pitchFamily="34" charset="0"/>
              <a:ea typeface="+mn-ea"/>
              <a:cs typeface="+mn-cs"/>
            </a:rPr>
            <a:t>% du total des accidents).</a:t>
          </a:r>
        </a:p>
        <a:p>
          <a:r>
            <a:rPr lang="fr-FR" sz="1000" baseline="0">
              <a:solidFill>
                <a:schemeClr val="bg1">
                  <a:lumMod val="50000"/>
                </a:schemeClr>
              </a:solidFill>
              <a:latin typeface="Calibri" panose="020F0502020204030204" pitchFamily="34" charset="0"/>
              <a:ea typeface="+mn-ea"/>
              <a:cs typeface="+mn-cs"/>
            </a:rPr>
            <a:t>Les accidents de trajet représentent</a:t>
          </a:r>
          <a:r>
            <a:rPr lang="fr-FR" sz="1000" baseline="0">
              <a:solidFill>
                <a:srgbClr val="FFC000"/>
              </a:solidFill>
              <a:latin typeface="Calibri" panose="020F0502020204030204" pitchFamily="34" charset="0"/>
              <a:ea typeface="+mn-ea"/>
              <a:cs typeface="+mn-cs"/>
            </a:rPr>
            <a:t> </a:t>
          </a:r>
          <a:r>
            <a:rPr lang="fr-FR" sz="1200" baseline="0">
              <a:solidFill>
                <a:srgbClr val="00B050"/>
              </a:solidFill>
              <a:latin typeface="Calibri" panose="020F0502020204030204" pitchFamily="34" charset="0"/>
              <a:ea typeface="+mn-ea"/>
              <a:cs typeface="+mn-cs"/>
            </a:rPr>
            <a:t>75</a:t>
          </a:r>
          <a:r>
            <a:rPr lang="fr-FR" sz="1200" baseline="0">
              <a:solidFill>
                <a:schemeClr val="bg1">
                  <a:lumMod val="50000"/>
                </a:schemeClr>
              </a:solidFill>
              <a:latin typeface="Calibri" panose="020F0502020204030204" pitchFamily="34" charset="0"/>
              <a:ea typeface="+mn-ea"/>
              <a:cs typeface="+mn-cs"/>
            </a:rPr>
            <a:t>%</a:t>
          </a:r>
          <a:r>
            <a:rPr lang="fr-FR" sz="1000" baseline="0">
              <a:solidFill>
                <a:schemeClr val="bg1">
                  <a:lumMod val="50000"/>
                </a:schemeClr>
              </a:solidFill>
              <a:latin typeface="Calibri" panose="020F0502020204030204" pitchFamily="34" charset="0"/>
              <a:ea typeface="+mn-ea"/>
              <a:cs typeface="+mn-cs"/>
            </a:rPr>
            <a:t> de la totalité des accidents. (contre</a:t>
          </a:r>
          <a:r>
            <a:rPr lang="fr-FR" sz="1000" baseline="0">
              <a:solidFill>
                <a:srgbClr val="FF0000"/>
              </a:solidFill>
              <a:latin typeface="Calibri" panose="020F0502020204030204" pitchFamily="34" charset="0"/>
              <a:ea typeface="+mn-ea"/>
              <a:cs typeface="+mn-cs"/>
            </a:rPr>
            <a:t> </a:t>
          </a:r>
          <a:r>
            <a:rPr lang="fr-FR" sz="1000" baseline="0">
              <a:solidFill>
                <a:schemeClr val="bg1">
                  <a:lumMod val="50000"/>
                </a:schemeClr>
              </a:solidFill>
              <a:latin typeface="Calibri" panose="020F0502020204030204" pitchFamily="34" charset="0"/>
              <a:ea typeface="+mn-ea"/>
              <a:cs typeface="+mn-cs"/>
            </a:rPr>
            <a:t>31%</a:t>
          </a:r>
          <a:r>
            <a:rPr lang="fr-FR" sz="1000" baseline="0">
              <a:solidFill>
                <a:srgbClr val="FF0000"/>
              </a:solidFill>
              <a:latin typeface="Calibri" panose="020F0502020204030204" pitchFamily="34" charset="0"/>
              <a:ea typeface="+mn-ea"/>
              <a:cs typeface="+mn-cs"/>
            </a:rPr>
            <a:t> </a:t>
          </a:r>
          <a:r>
            <a:rPr lang="fr-FR" sz="1000" baseline="0">
              <a:solidFill>
                <a:schemeClr val="bg1">
                  <a:lumMod val="50000"/>
                </a:schemeClr>
              </a:solidFill>
              <a:latin typeface="Calibri" panose="020F0502020204030204" pitchFamily="34" charset="0"/>
              <a:ea typeface="+mn-ea"/>
              <a:cs typeface="+mn-cs"/>
            </a:rPr>
            <a:t>en</a:t>
          </a:r>
          <a:r>
            <a:rPr lang="fr-FR" sz="1000" baseline="0">
              <a:solidFill>
                <a:srgbClr val="FF0000"/>
              </a:solidFill>
              <a:latin typeface="Calibri" panose="020F0502020204030204" pitchFamily="34" charset="0"/>
              <a:ea typeface="+mn-ea"/>
              <a:cs typeface="+mn-cs"/>
            </a:rPr>
            <a:t> </a:t>
          </a:r>
          <a:r>
            <a:rPr lang="fr-FR" sz="1000" b="1" baseline="0">
              <a:solidFill>
                <a:schemeClr val="bg1">
                  <a:lumMod val="50000"/>
                </a:schemeClr>
              </a:solidFill>
              <a:latin typeface="Calibri" panose="020F0502020204030204" pitchFamily="34" charset="0"/>
              <a:ea typeface="+mn-ea"/>
              <a:cs typeface="+mn-cs"/>
            </a:rPr>
            <a:t>2020</a:t>
          </a:r>
          <a:r>
            <a:rPr lang="fr-FR" sz="1000" baseline="0">
              <a:solidFill>
                <a:schemeClr val="bg1">
                  <a:lumMod val="50000"/>
                </a:schemeClr>
              </a:solidFill>
              <a:latin typeface="Calibri" panose="020F0502020204030204" pitchFamily="34" charset="0"/>
              <a:ea typeface="+mn-ea"/>
              <a:cs typeface="+mn-cs"/>
            </a:rPr>
            <a:t>)</a:t>
          </a:r>
        </a:p>
      </xdr:txBody>
    </xdr:sp>
    <xdr:clientData/>
  </xdr:twoCellAnchor>
  <xdr:twoCellAnchor>
    <xdr:from>
      <xdr:col>3</xdr:col>
      <xdr:colOff>581025</xdr:colOff>
      <xdr:row>68</xdr:row>
      <xdr:rowOff>15240</xdr:rowOff>
    </xdr:from>
    <xdr:to>
      <xdr:col>12</xdr:col>
      <xdr:colOff>476250</xdr:colOff>
      <xdr:row>72</xdr:row>
      <xdr:rowOff>114300</xdr:rowOff>
    </xdr:to>
    <xdr:sp macro="" textlink="">
      <xdr:nvSpPr>
        <xdr:cNvPr id="27" name="ZoneTexte 26">
          <a:extLst>
            <a:ext uri="{FF2B5EF4-FFF2-40B4-BE49-F238E27FC236}">
              <a16:creationId xmlns:a16="http://schemas.microsoft.com/office/drawing/2014/main" id="{00000000-0008-0000-2200-00001B000000}"/>
            </a:ext>
          </a:extLst>
        </xdr:cNvPr>
        <xdr:cNvSpPr txBox="1"/>
      </xdr:nvSpPr>
      <xdr:spPr>
        <a:xfrm>
          <a:off x="2466975" y="12302490"/>
          <a:ext cx="6781800" cy="7848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800" b="0" i="0" u="none" strike="noStrike">
              <a:solidFill>
                <a:srgbClr val="00B050"/>
              </a:solidFill>
              <a:effectLst/>
              <a:latin typeface="Calibri" panose="020F0502020204030204" pitchFamily="34" charset="0"/>
              <a:ea typeface="+mn-ea"/>
              <a:cs typeface="+mn-cs"/>
            </a:rPr>
            <a:t>- Poursuite de la gestion de la crise sanitaire avec reprise progressive des activités.</a:t>
          </a:r>
        </a:p>
        <a:p>
          <a:pPr marL="0" marR="0" indent="0" defTabSz="914400" eaLnBrk="1" fontAlgn="auto" latinLnBrk="0" hangingPunct="1">
            <a:lnSpc>
              <a:spcPct val="100000"/>
            </a:lnSpc>
            <a:spcBef>
              <a:spcPts val="0"/>
            </a:spcBef>
            <a:spcAft>
              <a:spcPts val="0"/>
            </a:spcAft>
            <a:buClrTx/>
            <a:buSzTx/>
            <a:buFontTx/>
            <a:buNone/>
            <a:tabLst/>
            <a:defRPr/>
          </a:pPr>
          <a:r>
            <a:rPr lang="fr-FR" sz="800" b="0" i="0" u="none" strike="noStrike">
              <a:solidFill>
                <a:srgbClr val="00B050"/>
              </a:solidFill>
              <a:effectLst/>
              <a:latin typeface="Calibri" panose="020F0502020204030204" pitchFamily="34" charset="0"/>
              <a:ea typeface="+mn-ea"/>
              <a:cs typeface="+mn-cs"/>
            </a:rPr>
            <a:t>- Poursuite du déploiemet du Plan d'actions Sécurité Sûreté et réflxion sur les astreintes</a:t>
          </a:r>
        </a:p>
        <a:p>
          <a:pPr marL="0" marR="0" indent="0" defTabSz="914400" eaLnBrk="1" fontAlgn="auto" latinLnBrk="0" hangingPunct="1">
            <a:lnSpc>
              <a:spcPct val="100000"/>
            </a:lnSpc>
            <a:spcBef>
              <a:spcPts val="0"/>
            </a:spcBef>
            <a:spcAft>
              <a:spcPts val="0"/>
            </a:spcAft>
            <a:buClrTx/>
            <a:buSzTx/>
            <a:buFontTx/>
            <a:buNone/>
            <a:tabLst/>
            <a:defRPr/>
          </a:pPr>
          <a:r>
            <a:rPr lang="fr-FR" sz="800" b="0" i="0" u="none" strike="noStrike">
              <a:solidFill>
                <a:srgbClr val="00B050"/>
              </a:solidFill>
              <a:effectLst/>
              <a:latin typeface="Calibri" panose="020F0502020204030204" pitchFamily="34" charset="0"/>
              <a:ea typeface="+mn-ea"/>
              <a:cs typeface="+mn-cs"/>
            </a:rPr>
            <a:t>- La Forte sollicitation de la CVS  (démarches individuelles et collectives)</a:t>
          </a:r>
        </a:p>
        <a:p>
          <a:pPr marL="0" marR="0" indent="0" defTabSz="914400" eaLnBrk="1" fontAlgn="auto" latinLnBrk="0" hangingPunct="1">
            <a:lnSpc>
              <a:spcPct val="100000"/>
            </a:lnSpc>
            <a:spcBef>
              <a:spcPts val="0"/>
            </a:spcBef>
            <a:spcAft>
              <a:spcPts val="0"/>
            </a:spcAft>
            <a:buClrTx/>
            <a:buSzTx/>
            <a:buFontTx/>
            <a:buNone/>
            <a:tabLst/>
            <a:defRPr/>
          </a:pPr>
          <a:r>
            <a:rPr lang="fr-FR" sz="800" b="0" i="0" u="none" strike="noStrike">
              <a:solidFill>
                <a:srgbClr val="00B050"/>
              </a:solidFill>
              <a:effectLst/>
              <a:latin typeface="Calibri" panose="020F0502020204030204" pitchFamily="34" charset="0"/>
              <a:ea typeface="+mn-ea"/>
              <a:cs typeface="+mn-cs"/>
            </a:rPr>
            <a:t>- Déploiemet et formation sur</a:t>
          </a:r>
          <a:r>
            <a:rPr lang="fr-FR" sz="800" b="0" i="0" u="none" strike="noStrike" baseline="0">
              <a:solidFill>
                <a:srgbClr val="00B050"/>
              </a:solidFill>
              <a:effectLst/>
              <a:latin typeface="Calibri" panose="020F0502020204030204" pitchFamily="34" charset="0"/>
              <a:ea typeface="+mn-ea"/>
              <a:cs typeface="+mn-cs"/>
            </a:rPr>
            <a:t> le</a:t>
          </a:r>
          <a:r>
            <a:rPr lang="fr-FR" sz="800" b="0" i="0" u="none" strike="noStrike">
              <a:solidFill>
                <a:srgbClr val="00B050"/>
              </a:solidFill>
              <a:effectLst/>
              <a:latin typeface="Calibri" panose="020F0502020204030204" pitchFamily="34" charset="0"/>
              <a:ea typeface="+mn-ea"/>
              <a:cs typeface="+mn-cs"/>
            </a:rPr>
            <a:t> logisiel EvRP pour l'évalutaion des risques professionnels.</a:t>
          </a:r>
        </a:p>
      </xdr:txBody>
    </xdr:sp>
    <xdr:clientData/>
  </xdr:twoCellAnchor>
  <xdr:twoCellAnchor>
    <xdr:from>
      <xdr:col>3</xdr:col>
      <xdr:colOff>596265</xdr:colOff>
      <xdr:row>72</xdr:row>
      <xdr:rowOff>167640</xdr:rowOff>
    </xdr:from>
    <xdr:to>
      <xdr:col>12</xdr:col>
      <xdr:colOff>478155</xdr:colOff>
      <xdr:row>73</xdr:row>
      <xdr:rowOff>238125</xdr:rowOff>
    </xdr:to>
    <xdr:sp macro="" textlink="">
      <xdr:nvSpPr>
        <xdr:cNvPr id="28" name="ZoneTexte 27">
          <a:extLst>
            <a:ext uri="{FF2B5EF4-FFF2-40B4-BE49-F238E27FC236}">
              <a16:creationId xmlns:a16="http://schemas.microsoft.com/office/drawing/2014/main" id="{00000000-0008-0000-2200-00001C000000}"/>
            </a:ext>
          </a:extLst>
        </xdr:cNvPr>
        <xdr:cNvSpPr txBox="1"/>
      </xdr:nvSpPr>
      <xdr:spPr>
        <a:xfrm>
          <a:off x="2520315" y="13864590"/>
          <a:ext cx="6939915" cy="137541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b="0" i="0" u="none" strike="noStrike">
              <a:solidFill>
                <a:srgbClr val="00B050"/>
              </a:solidFill>
              <a:effectLst/>
              <a:latin typeface="Calibri" panose="020F0502020204030204" pitchFamily="34" charset="0"/>
              <a:ea typeface="+mn-ea"/>
              <a:cs typeface="+mn-cs"/>
            </a:rPr>
            <a:t>L'objectif du DUER est d'identifier les risques professionnels et les modalités d'exposition, de préciser les mesures de prévention existantes et celles à mettre en place, et d'évaluer le niveau de risque en vue de définir un plan d'actions.  </a:t>
          </a:r>
          <a:br>
            <a:rPr lang="fr-FR" sz="800" b="0" i="0" u="none" strike="noStrike">
              <a:solidFill>
                <a:srgbClr val="00B050"/>
              </a:solidFill>
              <a:effectLst/>
              <a:latin typeface="Calibri" panose="020F0502020204030204" pitchFamily="34" charset="0"/>
              <a:ea typeface="+mn-ea"/>
              <a:cs typeface="+mn-cs"/>
            </a:rPr>
          </a:br>
          <a:r>
            <a:rPr lang="fr-FR" sz="800" b="0" i="0" u="none" strike="noStrike">
              <a:solidFill>
                <a:srgbClr val="00B050"/>
              </a:solidFill>
              <a:effectLst/>
              <a:latin typeface="Calibri" panose="020F0502020204030204" pitchFamily="34" charset="0"/>
              <a:ea typeface="+mn-ea"/>
              <a:cs typeface="+mn-cs"/>
            </a:rPr>
            <a:t>Le DUER est un véritable outil de pilotage en matière de gestion des risques.</a:t>
          </a:r>
        </a:p>
        <a:p>
          <a:pPr algn="l"/>
          <a:br>
            <a:rPr lang="fr-FR" sz="800" b="0" i="0" u="none" strike="noStrike">
              <a:solidFill>
                <a:srgbClr val="00B050"/>
              </a:solidFill>
              <a:effectLst/>
              <a:latin typeface="Calibri" panose="020F0502020204030204" pitchFamily="34" charset="0"/>
              <a:ea typeface="+mn-ea"/>
              <a:cs typeface="+mn-cs"/>
            </a:rPr>
          </a:br>
          <a:r>
            <a:rPr lang="fr-FR" sz="800" b="0" i="0" u="none" strike="noStrike">
              <a:solidFill>
                <a:srgbClr val="00B050"/>
              </a:solidFill>
              <a:effectLst/>
              <a:latin typeface="Calibri" panose="020F0502020204030204" pitchFamily="34" charset="0"/>
              <a:ea typeface="+mn-ea"/>
              <a:cs typeface="+mn-cs"/>
            </a:rPr>
            <a:t>68 Unités de travail répertoriées</a:t>
          </a:r>
        </a:p>
        <a:p>
          <a:pPr algn="l"/>
          <a:r>
            <a:rPr lang="fr-FR" sz="800" b="0" i="0" u="none" strike="noStrike">
              <a:solidFill>
                <a:srgbClr val="00B050"/>
              </a:solidFill>
              <a:effectLst/>
              <a:latin typeface="Calibri" panose="020F0502020204030204" pitchFamily="34" charset="0"/>
              <a:ea typeface="+mn-ea"/>
              <a:cs typeface="+mn-cs"/>
            </a:rPr>
            <a:t>65% ont effectué l'identification des risques  dont 59% doivent réactualiser cette étape</a:t>
          </a:r>
        </a:p>
        <a:p>
          <a:pPr algn="l"/>
          <a:r>
            <a:rPr lang="fr-FR" sz="800" b="0" i="0" u="none" strike="noStrike">
              <a:solidFill>
                <a:srgbClr val="00B050"/>
              </a:solidFill>
              <a:effectLst/>
              <a:latin typeface="Calibri" panose="020F0502020204030204" pitchFamily="34" charset="0"/>
              <a:ea typeface="+mn-ea"/>
              <a:cs typeface="+mn-cs"/>
            </a:rPr>
            <a:t>56% ont effectué un plan d'actions dont 55% doivent le réactualiser.</a:t>
          </a:r>
          <a:br>
            <a:rPr lang="fr-FR" sz="800" b="0" i="0" u="none" strike="noStrike">
              <a:solidFill>
                <a:srgbClr val="00B050"/>
              </a:solidFill>
              <a:effectLst/>
              <a:latin typeface="Calibri" panose="020F0502020204030204" pitchFamily="34" charset="0"/>
              <a:ea typeface="+mn-ea"/>
              <a:cs typeface="+mn-cs"/>
            </a:rPr>
          </a:br>
          <a:r>
            <a:rPr lang="fr-FR" sz="800" b="0" i="0" u="none" strike="noStrike">
              <a:solidFill>
                <a:srgbClr val="00B050"/>
              </a:solidFill>
              <a:effectLst/>
              <a:latin typeface="Calibri" panose="020F0502020204030204" pitchFamily="34" charset="0"/>
              <a:ea typeface="+mn-ea"/>
              <a:cs typeface="+mn-cs"/>
            </a:rPr>
            <a:t>La réalisation des DUER reste donc incomplète , les efforts sont à poursuivre; même si les unités de travail "à risque" ont pour la plupart un DUER validé</a:t>
          </a:r>
        </a:p>
        <a:p>
          <a:pPr algn="l"/>
          <a:r>
            <a:rPr lang="fr-FR" sz="800" b="0" i="0" u="none" strike="noStrike">
              <a:solidFill>
                <a:srgbClr val="00B050"/>
              </a:solidFill>
              <a:effectLst/>
              <a:latin typeface="Calibri" panose="020F0502020204030204" pitchFamily="34" charset="0"/>
              <a:ea typeface="+mn-ea"/>
              <a:cs typeface="+mn-cs"/>
            </a:rPr>
            <a:t>La prise en main du logiciel EvRP devrait faciliter la gestion des actions à engager et leur suivi.</a:t>
          </a:r>
        </a:p>
        <a:p>
          <a:pPr algn="l"/>
          <a:r>
            <a:rPr lang="fr-FR" sz="800" b="0" i="0" u="none" strike="noStrike">
              <a:solidFill>
                <a:srgbClr val="00B050"/>
              </a:solidFill>
              <a:effectLst/>
              <a:latin typeface="Calibri" panose="020F0502020204030204" pitchFamily="34" charset="0"/>
              <a:ea typeface="+mn-ea"/>
              <a:cs typeface="+mn-cs"/>
            </a:rPr>
            <a:t>Prise en considération des demandes sur la base des Plans d'actions finalisés et validés par le Directeurd'Unité.</a:t>
          </a:r>
        </a:p>
        <a:p>
          <a:pPr algn="l"/>
          <a:endParaRPr lang="fr-FR" sz="800" b="0" i="0" u="none" strike="noStrike" baseline="0">
            <a:solidFill>
              <a:schemeClr val="accent1">
                <a:lumMod val="75000"/>
              </a:schemeClr>
            </a:solidFill>
            <a:effectLst/>
            <a:latin typeface="Calibri" panose="020F0502020204030204" pitchFamily="34" charset="0"/>
            <a:ea typeface="+mn-ea"/>
            <a:cs typeface="+mn-cs"/>
          </a:endParaRPr>
        </a:p>
      </xdr:txBody>
    </xdr:sp>
    <xdr:clientData/>
  </xdr:twoCellAnchor>
  <xdr:twoCellAnchor>
    <xdr:from>
      <xdr:col>3</xdr:col>
      <xdr:colOff>619124</xdr:colOff>
      <xdr:row>73</xdr:row>
      <xdr:rowOff>352425</xdr:rowOff>
    </xdr:from>
    <xdr:to>
      <xdr:col>12</xdr:col>
      <xdr:colOff>485774</xdr:colOff>
      <xdr:row>74</xdr:row>
      <xdr:rowOff>514350</xdr:rowOff>
    </xdr:to>
    <xdr:sp macro="" textlink="">
      <xdr:nvSpPr>
        <xdr:cNvPr id="30" name="ZoneTexte 29">
          <a:extLst>
            <a:ext uri="{FF2B5EF4-FFF2-40B4-BE49-F238E27FC236}">
              <a16:creationId xmlns:a16="http://schemas.microsoft.com/office/drawing/2014/main" id="{00000000-0008-0000-2200-00001E000000}"/>
            </a:ext>
          </a:extLst>
        </xdr:cNvPr>
        <xdr:cNvSpPr txBox="1"/>
      </xdr:nvSpPr>
      <xdr:spPr>
        <a:xfrm>
          <a:off x="2543174" y="15354300"/>
          <a:ext cx="6924675" cy="742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b="0" i="0" u="none" strike="noStrike">
              <a:solidFill>
                <a:srgbClr val="00B050"/>
              </a:solidFill>
              <a:effectLst/>
              <a:latin typeface="Calibri" panose="020F0502020204030204" pitchFamily="34" charset="0"/>
              <a:ea typeface="+mn-ea"/>
              <a:cs typeface="+mn-cs"/>
            </a:rPr>
            <a:t>L’organisation du travail a été transformée avec la crise sanitaire et a nécessité des adaptations que ce soit dans l’organisation du travail, dans les relations avec les collègues et l’encadrement à distance. Ces changements ont conduit à de nouveaux modes de management et ont pu générer des inquiétudes. </a:t>
          </a:r>
        </a:p>
        <a:p>
          <a:pPr algn="l"/>
          <a:r>
            <a:rPr lang="fr-FR" sz="800" b="0" i="0" u="none" strike="noStrike">
              <a:solidFill>
                <a:srgbClr val="00B050"/>
              </a:solidFill>
              <a:effectLst/>
              <a:latin typeface="Calibri" panose="020F0502020204030204" pitchFamily="34" charset="0"/>
              <a:ea typeface="+mn-ea"/>
              <a:cs typeface="+mn-cs"/>
            </a:rPr>
            <a:t>Forte sollicitation et implication de la CVS</a:t>
          </a:r>
        </a:p>
        <a:p>
          <a:pPr algn="l"/>
          <a:r>
            <a:rPr lang="fr-FR" sz="800" b="0" i="0" u="none" strike="noStrike">
              <a:solidFill>
                <a:srgbClr val="00B050"/>
              </a:solidFill>
              <a:effectLst/>
              <a:latin typeface="Calibri" panose="020F0502020204030204" pitchFamily="34" charset="0"/>
              <a:ea typeface="+mn-ea"/>
              <a:cs typeface="+mn-cs"/>
            </a:rPr>
            <a:t>Poursuite de la prévention des risques psycho-sociaux dans le cadre d'une réflexion plus globale sur la quaité de vie au travail</a:t>
          </a:r>
        </a:p>
        <a:p>
          <a:pPr algn="l"/>
          <a:r>
            <a:rPr lang="fr-FR" sz="800" b="0" i="0" u="none" strike="noStrike">
              <a:solidFill>
                <a:srgbClr val="00B050"/>
              </a:solidFill>
              <a:effectLst/>
              <a:latin typeface="Calibri" panose="020F0502020204030204" pitchFamily="34" charset="0"/>
              <a:ea typeface="+mn-ea"/>
              <a:cs typeface="+mn-cs"/>
            </a:rPr>
            <a:t>Prise en compte de la préventiondes RPS sous l'angle de 6 facteurs dans l'outil EvRP</a:t>
          </a:r>
        </a:p>
      </xdr:txBody>
    </xdr:sp>
    <xdr:clientData/>
  </xdr:twoCellAnchor>
  <xdr:twoCellAnchor>
    <xdr:from>
      <xdr:col>9</xdr:col>
      <xdr:colOff>771525</xdr:colOff>
      <xdr:row>55</xdr:row>
      <xdr:rowOff>123825</xdr:rowOff>
    </xdr:from>
    <xdr:to>
      <xdr:col>12</xdr:col>
      <xdr:colOff>525780</xdr:colOff>
      <xdr:row>61</xdr:row>
      <xdr:rowOff>60960</xdr:rowOff>
    </xdr:to>
    <xdr:sp macro="" textlink="">
      <xdr:nvSpPr>
        <xdr:cNvPr id="17" name="ZoneTexte 16">
          <a:extLst>
            <a:ext uri="{FF2B5EF4-FFF2-40B4-BE49-F238E27FC236}">
              <a16:creationId xmlns:a16="http://schemas.microsoft.com/office/drawing/2014/main" id="{00000000-0008-0000-2200-000011000000}"/>
            </a:ext>
          </a:extLst>
        </xdr:cNvPr>
        <xdr:cNvSpPr txBox="1"/>
      </xdr:nvSpPr>
      <xdr:spPr>
        <a:xfrm>
          <a:off x="6776085" y="10494645"/>
          <a:ext cx="242125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fr-FR" sz="900" b="0" strike="noStrike" baseline="0">
            <a:solidFill>
              <a:srgbClr val="00B050"/>
            </a:solidFill>
            <a:effectLst/>
            <a:latin typeface="Calibri" panose="020F0502020204030204" pitchFamily="34" charset="0"/>
            <a:ea typeface="+mn-ea"/>
            <a:cs typeface="+mn-cs"/>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20</xdr:col>
      <xdr:colOff>198753</xdr:colOff>
      <xdr:row>4</xdr:row>
      <xdr:rowOff>189232</xdr:rowOff>
    </xdr:from>
    <xdr:to>
      <xdr:col>24</xdr:col>
      <xdr:colOff>257174</xdr:colOff>
      <xdr:row>11</xdr:row>
      <xdr:rowOff>19051</xdr:rowOff>
    </xdr:to>
    <xdr:sp macro="" textlink="">
      <xdr:nvSpPr>
        <xdr:cNvPr id="2" name="ZoneTexte 1">
          <a:extLst>
            <a:ext uri="{FF2B5EF4-FFF2-40B4-BE49-F238E27FC236}">
              <a16:creationId xmlns:a16="http://schemas.microsoft.com/office/drawing/2014/main" id="{00000000-0008-0000-2300-000002000000}"/>
            </a:ext>
          </a:extLst>
        </xdr:cNvPr>
        <xdr:cNvSpPr txBox="1"/>
      </xdr:nvSpPr>
      <xdr:spPr>
        <a:xfrm>
          <a:off x="11085828" y="808357"/>
          <a:ext cx="2801621" cy="12490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2000">
              <a:solidFill>
                <a:srgbClr val="00B050"/>
              </a:solidFill>
              <a:latin typeface="Calibri" pitchFamily="34" charset="0"/>
              <a:ea typeface="+mn-ea"/>
              <a:cs typeface="+mn-cs"/>
            </a:rPr>
            <a:t>199</a:t>
          </a:r>
          <a:r>
            <a:rPr lang="fr-FR" sz="1100">
              <a:solidFill>
                <a:schemeClr val="bg1">
                  <a:lumMod val="50000"/>
                </a:schemeClr>
              </a:solidFill>
            </a:rPr>
            <a:t> </a:t>
          </a:r>
          <a:r>
            <a:rPr lang="fr-FR" sz="1100">
              <a:solidFill>
                <a:schemeClr val="bg1">
                  <a:lumMod val="50000"/>
                </a:schemeClr>
              </a:solidFill>
              <a:latin typeface="Calibri" pitchFamily="34" charset="0"/>
              <a:ea typeface="+mn-ea"/>
              <a:cs typeface="+mn-cs"/>
            </a:rPr>
            <a:t>stagiaires ont bénéficié d'une formation en hygiène et sécurité, en </a:t>
          </a:r>
          <a:r>
            <a:rPr lang="fr-FR" sz="1400">
              <a:solidFill>
                <a:schemeClr val="bg1">
                  <a:lumMod val="50000"/>
                </a:schemeClr>
              </a:solidFill>
              <a:latin typeface="Calibri" pitchFamily="34" charset="0"/>
              <a:ea typeface="+mn-ea"/>
              <a:cs typeface="+mn-cs"/>
            </a:rPr>
            <a:t>2022</a:t>
          </a:r>
        </a:p>
        <a:p>
          <a:pPr algn="r">
            <a:lnSpc>
              <a:spcPts val="1100"/>
            </a:lnSpc>
          </a:pPr>
          <a:r>
            <a:rPr lang="fr-FR" sz="1100">
              <a:solidFill>
                <a:schemeClr val="bg1">
                  <a:lumMod val="50000"/>
                </a:schemeClr>
              </a:solidFill>
              <a:latin typeface="Calibri" pitchFamily="34" charset="0"/>
              <a:ea typeface="+mn-ea"/>
              <a:cs typeface="+mn-cs"/>
            </a:rPr>
            <a:t>dont</a:t>
          </a:r>
        </a:p>
        <a:p>
          <a:pPr algn="r"/>
          <a:r>
            <a:rPr lang="fr-FR" sz="2000">
              <a:solidFill>
                <a:srgbClr val="00B050"/>
              </a:solidFill>
              <a:latin typeface="Calibri" pitchFamily="34" charset="0"/>
              <a:ea typeface="+mn-ea"/>
              <a:cs typeface="+mn-cs"/>
            </a:rPr>
            <a:t>12</a:t>
          </a:r>
          <a:r>
            <a:rPr lang="fr-FR" sz="2000">
              <a:solidFill>
                <a:schemeClr val="bg1">
                  <a:lumMod val="50000"/>
                </a:schemeClr>
              </a:solidFill>
              <a:latin typeface="Calibri" pitchFamily="34" charset="0"/>
              <a:ea typeface="+mn-ea"/>
              <a:cs typeface="+mn-cs"/>
            </a:rPr>
            <a:t>%</a:t>
          </a:r>
          <a:r>
            <a:rPr lang="fr-FR" sz="1100">
              <a:solidFill>
                <a:schemeClr val="bg1">
                  <a:lumMod val="50000"/>
                </a:schemeClr>
              </a:solidFill>
              <a:latin typeface="Calibri" pitchFamily="34" charset="0"/>
              <a:ea typeface="+mn-ea"/>
              <a:cs typeface="+mn-cs"/>
            </a:rPr>
            <a:t> de  personnels enseignants</a:t>
          </a:r>
        </a:p>
      </xdr:txBody>
    </xdr:sp>
    <xdr:clientData/>
  </xdr:twoCellAnchor>
  <xdr:twoCellAnchor>
    <xdr:from>
      <xdr:col>20</xdr:col>
      <xdr:colOff>361315</xdr:colOff>
      <xdr:row>17</xdr:row>
      <xdr:rowOff>130810</xdr:rowOff>
    </xdr:from>
    <xdr:to>
      <xdr:col>23</xdr:col>
      <xdr:colOff>466725</xdr:colOff>
      <xdr:row>35</xdr:row>
      <xdr:rowOff>112395</xdr:rowOff>
    </xdr:to>
    <xdr:sp macro="" textlink="">
      <xdr:nvSpPr>
        <xdr:cNvPr id="8" name="ZoneTexte 7">
          <a:extLst>
            <a:ext uri="{FF2B5EF4-FFF2-40B4-BE49-F238E27FC236}">
              <a16:creationId xmlns:a16="http://schemas.microsoft.com/office/drawing/2014/main" id="{00000000-0008-0000-2300-000008000000}"/>
            </a:ext>
          </a:extLst>
        </xdr:cNvPr>
        <xdr:cNvSpPr txBox="1"/>
      </xdr:nvSpPr>
      <xdr:spPr>
        <a:xfrm>
          <a:off x="11248390" y="3369310"/>
          <a:ext cx="2162810" cy="3648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r">
            <a:lnSpc>
              <a:spcPts val="1600"/>
            </a:lnSpc>
          </a:pPr>
          <a:endParaRPr lang="fr-FR" sz="1100">
            <a:solidFill>
              <a:schemeClr val="bg1">
                <a:lumMod val="50000"/>
              </a:schemeClr>
            </a:solidFill>
            <a:latin typeface="Calibri" pitchFamily="34" charset="0"/>
            <a:ea typeface="+mn-ea"/>
            <a:cs typeface="+mn-cs"/>
          </a:endParaRPr>
        </a:p>
        <a:p>
          <a:pPr algn="ctr">
            <a:lnSpc>
              <a:spcPts val="1600"/>
            </a:lnSpc>
          </a:pPr>
          <a:r>
            <a:rPr lang="fr-FR" sz="1100">
              <a:solidFill>
                <a:schemeClr val="bg1">
                  <a:lumMod val="50000"/>
                </a:schemeClr>
              </a:solidFill>
              <a:latin typeface="Calibri" pitchFamily="34" charset="0"/>
              <a:ea typeface="+mn-ea"/>
              <a:cs typeface="+mn-cs"/>
            </a:rPr>
            <a:t>En </a:t>
          </a:r>
          <a:r>
            <a:rPr lang="fr-FR" sz="2400">
              <a:solidFill>
                <a:schemeClr val="bg1">
                  <a:lumMod val="50000"/>
                </a:schemeClr>
              </a:solidFill>
              <a:latin typeface="Calibri" pitchFamily="34" charset="0"/>
              <a:ea typeface="+mn-ea"/>
              <a:cs typeface="+mn-cs"/>
            </a:rPr>
            <a:t>2022</a:t>
          </a:r>
          <a:r>
            <a:rPr lang="fr-FR" sz="1100">
              <a:solidFill>
                <a:schemeClr val="bg1">
                  <a:lumMod val="50000"/>
                </a:schemeClr>
              </a:solidFill>
              <a:latin typeface="Calibri" pitchFamily="34" charset="0"/>
              <a:ea typeface="+mn-ea"/>
              <a:cs typeface="+mn-cs"/>
            </a:rPr>
            <a:t>, les dépenses de formation en hygiène et sécurité représentaient </a:t>
          </a:r>
        </a:p>
        <a:p>
          <a:pPr algn="ctr">
            <a:lnSpc>
              <a:spcPts val="1600"/>
            </a:lnSpc>
          </a:pPr>
          <a:endParaRPr lang="fr-FR" sz="1100">
            <a:solidFill>
              <a:schemeClr val="bg1">
                <a:lumMod val="50000"/>
              </a:schemeClr>
            </a:solidFill>
            <a:latin typeface="Calibri" pitchFamily="34" charset="0"/>
            <a:ea typeface="+mn-ea"/>
            <a:cs typeface="+mn-cs"/>
          </a:endParaRPr>
        </a:p>
        <a:p>
          <a:pPr algn="ctr">
            <a:lnSpc>
              <a:spcPts val="1500"/>
            </a:lnSpc>
          </a:pPr>
          <a:r>
            <a:rPr lang="fr-FR" sz="2400">
              <a:solidFill>
                <a:srgbClr val="00B050"/>
              </a:solidFill>
              <a:latin typeface="Calibri" pitchFamily="34" charset="0"/>
              <a:ea typeface="+mn-ea"/>
              <a:cs typeface="+mn-cs"/>
            </a:rPr>
            <a:t>11</a:t>
          </a:r>
          <a:r>
            <a:rPr lang="fr-FR" sz="24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de la totalité des dépenses de formation.</a:t>
          </a:r>
        </a:p>
        <a:p>
          <a:pPr algn="ctr">
            <a:lnSpc>
              <a:spcPts val="1200"/>
            </a:lnSpc>
          </a:pPr>
          <a:endParaRPr lang="fr-FR" sz="1100">
            <a:solidFill>
              <a:schemeClr val="bg1">
                <a:lumMod val="50000"/>
              </a:schemeClr>
            </a:solidFill>
            <a:latin typeface="Calibri" pitchFamily="34" charset="0"/>
            <a:ea typeface="+mn-ea"/>
            <a:cs typeface="+mn-cs"/>
          </a:endParaRPr>
        </a:p>
        <a:p>
          <a:pPr algn="ctr">
            <a:lnSpc>
              <a:spcPts val="3500"/>
            </a:lnSpc>
          </a:pPr>
          <a:r>
            <a:rPr lang="fr-FR" sz="1100">
              <a:solidFill>
                <a:schemeClr val="bg1">
                  <a:lumMod val="50000"/>
                </a:schemeClr>
              </a:solidFill>
              <a:latin typeface="Calibri" pitchFamily="34" charset="0"/>
              <a:ea typeface="+mn-ea"/>
              <a:cs typeface="+mn-cs"/>
            </a:rPr>
            <a:t>En </a:t>
          </a:r>
          <a:r>
            <a:rPr lang="fr-FR" sz="2400">
              <a:solidFill>
                <a:schemeClr val="bg1">
                  <a:lumMod val="50000"/>
                </a:schemeClr>
              </a:solidFill>
              <a:latin typeface="Calibri" pitchFamily="34" charset="0"/>
              <a:ea typeface="+mn-ea"/>
              <a:cs typeface="+mn-cs"/>
            </a:rPr>
            <a:t>2021</a:t>
          </a:r>
          <a:r>
            <a:rPr lang="fr-FR" sz="1100">
              <a:solidFill>
                <a:schemeClr val="bg1">
                  <a:lumMod val="50000"/>
                </a:schemeClr>
              </a:solidFill>
              <a:latin typeface="Calibri" pitchFamily="34" charset="0"/>
              <a:ea typeface="+mn-ea"/>
              <a:cs typeface="+mn-cs"/>
            </a:rPr>
            <a:t>, elles  représentent </a:t>
          </a:r>
          <a:r>
            <a:rPr lang="fr-FR" sz="2400">
              <a:solidFill>
                <a:schemeClr val="bg1">
                  <a:lumMod val="50000"/>
                </a:schemeClr>
              </a:solidFill>
              <a:latin typeface="Calibri" pitchFamily="34" charset="0"/>
              <a:ea typeface="+mn-ea"/>
              <a:cs typeface="+mn-cs"/>
            </a:rPr>
            <a:t>12%</a:t>
          </a:r>
          <a:r>
            <a:rPr lang="fr-FR" sz="1200">
              <a:solidFill>
                <a:schemeClr val="bg1">
                  <a:lumMod val="50000"/>
                </a:schemeClr>
              </a:solidFill>
              <a:latin typeface="Calibri" pitchFamily="34" charset="0"/>
              <a:ea typeface="+mn-ea"/>
              <a:cs typeface="+mn-cs"/>
            </a:rPr>
            <a:t>.</a:t>
          </a:r>
          <a:endParaRPr lang="fr-FR" sz="2400">
            <a:solidFill>
              <a:schemeClr val="bg1">
                <a:lumMod val="50000"/>
              </a:schemeClr>
            </a:solidFill>
            <a:latin typeface="Calibri" pitchFamily="34" charset="0"/>
            <a:ea typeface="+mn-ea"/>
            <a:cs typeface="+mn-cs"/>
          </a:endParaRPr>
        </a:p>
      </xdr:txBody>
    </xdr:sp>
    <xdr:clientData/>
  </xdr:twoCellAnchor>
  <xdr:twoCellAnchor>
    <xdr:from>
      <xdr:col>1</xdr:col>
      <xdr:colOff>2819400</xdr:colOff>
      <xdr:row>33</xdr:row>
      <xdr:rowOff>57150</xdr:rowOff>
    </xdr:from>
    <xdr:to>
      <xdr:col>10</xdr:col>
      <xdr:colOff>106680</xdr:colOff>
      <xdr:row>43</xdr:row>
      <xdr:rowOff>60960</xdr:rowOff>
    </xdr:to>
    <xdr:sp macro="" textlink="">
      <xdr:nvSpPr>
        <xdr:cNvPr id="6" name="ZoneTexte 5">
          <a:extLst>
            <a:ext uri="{FF2B5EF4-FFF2-40B4-BE49-F238E27FC236}">
              <a16:creationId xmlns:a16="http://schemas.microsoft.com/office/drawing/2014/main" id="{00000000-0008-0000-2300-000006000000}"/>
            </a:ext>
          </a:extLst>
        </xdr:cNvPr>
        <xdr:cNvSpPr txBox="1"/>
      </xdr:nvSpPr>
      <xdr:spPr>
        <a:xfrm>
          <a:off x="3009900" y="5932170"/>
          <a:ext cx="3832860" cy="1299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solidFill>
                <a:schemeClr val="bg1">
                  <a:lumMod val="50000"/>
                </a:schemeClr>
              </a:solidFill>
              <a:latin typeface="Calibri" pitchFamily="34" charset="0"/>
              <a:ea typeface="+mn-ea"/>
              <a:cs typeface="+mn-cs"/>
            </a:rPr>
            <a:t>Coût de la formation H&amp;S pour</a:t>
          </a:r>
          <a:r>
            <a:rPr lang="fr-FR" sz="2400">
              <a:solidFill>
                <a:schemeClr val="bg1">
                  <a:lumMod val="50000"/>
                </a:schemeClr>
              </a:solidFill>
              <a:latin typeface="Calibri" pitchFamily="34" charset="0"/>
              <a:ea typeface="+mn-ea"/>
              <a:cs typeface="+mn-cs"/>
            </a:rPr>
            <a:t> </a:t>
          </a:r>
          <a:r>
            <a:rPr lang="fr-FR" sz="1800">
              <a:solidFill>
                <a:schemeClr val="bg1">
                  <a:lumMod val="50000"/>
                </a:schemeClr>
              </a:solidFill>
              <a:latin typeface="Calibri" pitchFamily="34" charset="0"/>
              <a:ea typeface="+mn-ea"/>
              <a:cs typeface="+mn-cs"/>
            </a:rPr>
            <a:t>2021</a:t>
          </a:r>
          <a:r>
            <a:rPr lang="fr-FR" sz="2400">
              <a:solidFill>
                <a:schemeClr val="bg1">
                  <a:lumMod val="50000"/>
                </a:schemeClr>
              </a:solidFill>
              <a:latin typeface="Calibri" pitchFamily="34" charset="0"/>
              <a:ea typeface="+mn-ea"/>
              <a:cs typeface="+mn-cs"/>
            </a:rPr>
            <a:t> : 23 041€</a:t>
          </a:r>
        </a:p>
        <a:p>
          <a:pPr algn="r">
            <a:lnSpc>
              <a:spcPts val="1200"/>
            </a:lnSpc>
          </a:pPr>
          <a:endParaRPr lang="fr-FR" sz="1100">
            <a:solidFill>
              <a:schemeClr val="bg1">
                <a:lumMod val="50000"/>
              </a:schemeClr>
            </a:solidFill>
            <a:latin typeface="Calibri" pitchFamily="34" charset="0"/>
            <a:ea typeface="+mn-ea"/>
            <a:cs typeface="+mn-cs"/>
          </a:endParaRPr>
        </a:p>
        <a:p>
          <a:pPr algn="r">
            <a:lnSpc>
              <a:spcPts val="2500"/>
            </a:lnSpc>
          </a:pPr>
          <a:r>
            <a:rPr lang="fr-FR" sz="1100">
              <a:solidFill>
                <a:schemeClr val="bg1">
                  <a:lumMod val="50000"/>
                </a:schemeClr>
              </a:solidFill>
              <a:latin typeface="Calibri" pitchFamily="34" charset="0"/>
              <a:ea typeface="+mn-ea"/>
              <a:cs typeface="+mn-cs"/>
            </a:rPr>
            <a:t>Coût pour </a:t>
          </a:r>
          <a:r>
            <a:rPr lang="fr-FR" sz="1800" baseline="0">
              <a:solidFill>
                <a:schemeClr val="bg1">
                  <a:lumMod val="50000"/>
                </a:schemeClr>
              </a:solidFill>
              <a:latin typeface="Calibri" pitchFamily="34" charset="0"/>
              <a:ea typeface="+mn-ea"/>
              <a:cs typeface="+mn-cs"/>
            </a:rPr>
            <a:t>2022</a:t>
          </a:r>
          <a:r>
            <a:rPr lang="fr-FR" sz="2400" baseline="0">
              <a:solidFill>
                <a:schemeClr val="bg1">
                  <a:lumMod val="50000"/>
                </a:schemeClr>
              </a:solidFill>
              <a:latin typeface="Calibri" pitchFamily="34" charset="0"/>
              <a:ea typeface="+mn-ea"/>
              <a:cs typeface="+mn-cs"/>
            </a:rPr>
            <a:t> : </a:t>
          </a:r>
          <a:r>
            <a:rPr lang="fr-FR" sz="2400" baseline="0">
              <a:solidFill>
                <a:srgbClr val="00B050"/>
              </a:solidFill>
              <a:latin typeface="Calibri" pitchFamily="34" charset="0"/>
              <a:ea typeface="+mn-ea"/>
              <a:cs typeface="+mn-cs"/>
            </a:rPr>
            <a:t>36 066 €</a:t>
          </a:r>
          <a:r>
            <a:rPr lang="fr-FR" sz="2400">
              <a:solidFill>
                <a:srgbClr val="00B050"/>
              </a:solidFill>
              <a:latin typeface="Calibri" pitchFamily="34" charset="0"/>
              <a:ea typeface="+mn-ea"/>
              <a:cs typeface="+mn-cs"/>
            </a:rPr>
            <a:t> </a:t>
          </a:r>
          <a:endParaRPr kumimoji="0" lang="fr-FR" sz="2000" b="0" i="0" u="none" strike="noStrike" kern="0" cap="none" spc="0" normalizeH="0" baseline="0">
            <a:ln>
              <a:noFill/>
            </a:ln>
            <a:solidFill>
              <a:srgbClr val="00B050"/>
            </a:solidFill>
            <a:effectLst/>
            <a:uLnTx/>
            <a:uFillTx/>
            <a:latin typeface="Calibri" pitchFamily="34" charset="0"/>
            <a:ea typeface="+mn-ea"/>
            <a:cs typeface="+mn-cs"/>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245269</xdr:colOff>
      <xdr:row>37</xdr:row>
      <xdr:rowOff>32386</xdr:rowOff>
    </xdr:from>
    <xdr:to>
      <xdr:col>14</xdr:col>
      <xdr:colOff>390525</xdr:colOff>
      <xdr:row>39</xdr:row>
      <xdr:rowOff>219075</xdr:rowOff>
    </xdr:to>
    <xdr:sp macro="" textlink="">
      <xdr:nvSpPr>
        <xdr:cNvPr id="2" name="ZoneTexte 1">
          <a:extLst>
            <a:ext uri="{FF2B5EF4-FFF2-40B4-BE49-F238E27FC236}">
              <a16:creationId xmlns:a16="http://schemas.microsoft.com/office/drawing/2014/main" id="{00000000-0008-0000-2400-000002000000}"/>
            </a:ext>
          </a:extLst>
        </xdr:cNvPr>
        <xdr:cNvSpPr txBox="1"/>
      </xdr:nvSpPr>
      <xdr:spPr>
        <a:xfrm>
          <a:off x="7569994" y="6347461"/>
          <a:ext cx="1507331" cy="424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200">
            <a:solidFill>
              <a:schemeClr val="bg1">
                <a:lumMod val="50000"/>
              </a:schemeClr>
            </a:solidFill>
            <a:latin typeface="Calibri" panose="020F0502020204030204" pitchFamily="34" charset="0"/>
          </a:endParaRPr>
        </a:p>
      </xdr:txBody>
    </xdr:sp>
    <xdr:clientData/>
  </xdr:twoCellAnchor>
  <xdr:twoCellAnchor>
    <xdr:from>
      <xdr:col>0</xdr:col>
      <xdr:colOff>24767</xdr:colOff>
      <xdr:row>20</xdr:row>
      <xdr:rowOff>53340</xdr:rowOff>
    </xdr:from>
    <xdr:to>
      <xdr:col>16</xdr:col>
      <xdr:colOff>598170</xdr:colOff>
      <xdr:row>25</xdr:row>
      <xdr:rowOff>85725</xdr:rowOff>
    </xdr:to>
    <xdr:sp macro="" textlink="">
      <xdr:nvSpPr>
        <xdr:cNvPr id="3" name="ZoneTexte 2">
          <a:extLst>
            <a:ext uri="{FF2B5EF4-FFF2-40B4-BE49-F238E27FC236}">
              <a16:creationId xmlns:a16="http://schemas.microsoft.com/office/drawing/2014/main" id="{00000000-0008-0000-2400-000003000000}"/>
            </a:ext>
          </a:extLst>
        </xdr:cNvPr>
        <xdr:cNvSpPr txBox="1"/>
      </xdr:nvSpPr>
      <xdr:spPr>
        <a:xfrm>
          <a:off x="24767" y="3844290"/>
          <a:ext cx="10222228" cy="737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000">
              <a:solidFill>
                <a:schemeClr val="bg1">
                  <a:lumMod val="50000"/>
                </a:schemeClr>
              </a:solidFill>
              <a:latin typeface="Calibri" panose="020F0502020204030204" pitchFamily="34" charset="0"/>
            </a:rPr>
            <a:t>Une charte pour un statut de l'élu(e) à l'Université Jean Monnet a été élaborée et approuvée par les membres du Conseil d'Administration dans sa séance du 17 décembre 2012.</a:t>
          </a:r>
        </a:p>
        <a:p>
          <a:pPr algn="just"/>
          <a:r>
            <a:rPr lang="fr-FR" sz="1000">
              <a:solidFill>
                <a:schemeClr val="bg1">
                  <a:lumMod val="50000"/>
                </a:schemeClr>
              </a:solidFill>
              <a:latin typeface="Calibri" panose="020F0502020204030204" pitchFamily="34" charset="0"/>
            </a:rPr>
            <a:t>Cette charte précise,</a:t>
          </a:r>
          <a:r>
            <a:rPr lang="fr-FR" sz="1000" baseline="0">
              <a:solidFill>
                <a:schemeClr val="bg1">
                  <a:lumMod val="50000"/>
                </a:schemeClr>
              </a:solidFill>
              <a:latin typeface="Calibri" panose="020F0502020204030204" pitchFamily="34" charset="0"/>
            </a:rPr>
            <a:t> entre autre, que toute convocation à un Conseil ou Comité technique est considérée comme un ordre de mission, tant pour les membres titulaires que pour les membres suppléants. Le temps de mission, considéré comme du temps de travail se décompose  en durée de la réunion, délais de route et temps destiné à la préparation des travaux et comptes rendus. Ces moyens sont accordés  de la manière suivante :</a:t>
          </a:r>
          <a:endParaRPr lang="fr-FR" sz="1000">
            <a:solidFill>
              <a:schemeClr val="bg1">
                <a:lumMod val="50000"/>
              </a:schemeClr>
            </a:solidFill>
            <a:latin typeface="Calibri" panose="020F0502020204030204" pitchFamily="34" charset="0"/>
          </a:endParaRPr>
        </a:p>
        <a:p>
          <a:endParaRPr lang="fr-FR" sz="1100">
            <a:solidFill>
              <a:schemeClr val="bg1">
                <a:lumMod val="50000"/>
              </a:schemeClr>
            </a:solidFill>
            <a:latin typeface="Calibri" panose="020F0502020204030204" pitchFamily="34" charset="0"/>
          </a:endParaRPr>
        </a:p>
      </xdr:txBody>
    </xdr:sp>
    <xdr:clientData/>
  </xdr:twoCellAnchor>
  <xdr:twoCellAnchor>
    <xdr:from>
      <xdr:col>0</xdr:col>
      <xdr:colOff>135255</xdr:colOff>
      <xdr:row>26</xdr:row>
      <xdr:rowOff>19529</xdr:rowOff>
    </xdr:from>
    <xdr:to>
      <xdr:col>15</xdr:col>
      <xdr:colOff>133350</xdr:colOff>
      <xdr:row>33</xdr:row>
      <xdr:rowOff>9525</xdr:rowOff>
    </xdr:to>
    <xdr:sp macro="" textlink="">
      <xdr:nvSpPr>
        <xdr:cNvPr id="4" name="ZoneTexte 3">
          <a:extLst>
            <a:ext uri="{FF2B5EF4-FFF2-40B4-BE49-F238E27FC236}">
              <a16:creationId xmlns:a16="http://schemas.microsoft.com/office/drawing/2014/main" id="{00000000-0008-0000-2400-000004000000}"/>
            </a:ext>
          </a:extLst>
        </xdr:cNvPr>
        <xdr:cNvSpPr txBox="1"/>
      </xdr:nvSpPr>
      <xdr:spPr>
        <a:xfrm>
          <a:off x="135255" y="4877279"/>
          <a:ext cx="9132570" cy="9234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fr-FR" sz="1000" baseline="0">
              <a:solidFill>
                <a:schemeClr val="bg1">
                  <a:lumMod val="50000"/>
                </a:schemeClr>
              </a:solidFill>
              <a:latin typeface="Calibri" panose="020F0502020204030204" pitchFamily="34" charset="0"/>
              <a:ea typeface="+mn-ea"/>
              <a:cs typeface="+mn-cs"/>
            </a:rPr>
            <a:t>Pour les BIATSS :</a:t>
          </a:r>
        </a:p>
        <a:p>
          <a:pPr marL="0" indent="0" algn="l"/>
          <a:r>
            <a:rPr lang="fr-FR" sz="1000" baseline="0">
              <a:solidFill>
                <a:schemeClr val="bg1">
                  <a:lumMod val="50000"/>
                </a:schemeClr>
              </a:solidFill>
              <a:latin typeface="Calibri" panose="020F0502020204030204" pitchFamily="34" charset="0"/>
              <a:ea typeface="+mn-ea"/>
              <a:cs typeface="+mn-cs"/>
            </a:rPr>
            <a:t>Comité technique : 2 demi-journées</a:t>
          </a:r>
        </a:p>
        <a:p>
          <a:pPr marL="0" indent="0" algn="l"/>
          <a:r>
            <a:rPr lang="fr-FR" sz="1000" baseline="0">
              <a:solidFill>
                <a:schemeClr val="bg1">
                  <a:lumMod val="50000"/>
                </a:schemeClr>
              </a:solidFill>
              <a:latin typeface="Calibri" panose="020F0502020204030204" pitchFamily="34" charset="0"/>
              <a:ea typeface="+mn-ea"/>
              <a:cs typeface="+mn-cs"/>
            </a:rPr>
            <a:t>CHSCT :  Un crédit de 160 heures par an est accordé au- à la secrétaire du CHSCT ; 87 heures pour le-la secrétaire adjoint-e ; 2 demi-journées pour les autres membres du CHSCT</a:t>
          </a:r>
        </a:p>
        <a:p>
          <a:pPr marL="0" indent="0" algn="l"/>
          <a:r>
            <a:rPr lang="fr-FR" sz="1000" baseline="0">
              <a:solidFill>
                <a:schemeClr val="bg1">
                  <a:lumMod val="50000"/>
                </a:schemeClr>
              </a:solidFill>
              <a:latin typeface="Calibri" panose="020F0502020204030204" pitchFamily="34" charset="0"/>
              <a:ea typeface="+mn-ea"/>
              <a:cs typeface="+mn-cs"/>
            </a:rPr>
            <a:t>Des autorisations d'absence ponctuelles son accorder aux membres des instances pour participer aux réunions ad hoc et toutes activités en lien avec avec l'instance.</a:t>
          </a:r>
        </a:p>
      </xdr:txBody>
    </xdr:sp>
    <xdr:clientData/>
  </xdr:twoCellAnchor>
  <xdr:twoCellAnchor>
    <xdr:from>
      <xdr:col>8</xdr:col>
      <xdr:colOff>55246</xdr:colOff>
      <xdr:row>13</xdr:row>
      <xdr:rowOff>17146</xdr:rowOff>
    </xdr:from>
    <xdr:to>
      <xdr:col>17</xdr:col>
      <xdr:colOff>47626</xdr:colOff>
      <xdr:row>16</xdr:row>
      <xdr:rowOff>167640</xdr:rowOff>
    </xdr:to>
    <xdr:sp macro="" textlink="">
      <xdr:nvSpPr>
        <xdr:cNvPr id="5" name="ZoneTexte 4">
          <a:extLst>
            <a:ext uri="{FF2B5EF4-FFF2-40B4-BE49-F238E27FC236}">
              <a16:creationId xmlns:a16="http://schemas.microsoft.com/office/drawing/2014/main" id="{00000000-0008-0000-2400-000005000000}"/>
            </a:ext>
          </a:extLst>
        </xdr:cNvPr>
        <xdr:cNvSpPr txBox="1"/>
      </xdr:nvSpPr>
      <xdr:spPr>
        <a:xfrm>
          <a:off x="5160646" y="2579371"/>
          <a:ext cx="5173980" cy="8553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aseline="0">
              <a:solidFill>
                <a:srgbClr val="FF0000"/>
              </a:solidFill>
              <a:latin typeface="Calibri" panose="020F0502020204030204" pitchFamily="34" charset="0"/>
              <a:ea typeface="+mn-ea"/>
              <a:cs typeface="+mn-cs"/>
            </a:rPr>
            <a:t> </a:t>
          </a:r>
          <a:r>
            <a:rPr lang="fr-FR" sz="1800" baseline="0">
              <a:solidFill>
                <a:srgbClr val="00B050"/>
              </a:solidFill>
              <a:latin typeface="Calibri" panose="020F0502020204030204" pitchFamily="34" charset="0"/>
              <a:ea typeface="+mn-ea"/>
              <a:cs typeface="+mn-cs"/>
            </a:rPr>
            <a:t>33</a:t>
          </a:r>
          <a:r>
            <a:rPr lang="fr-FR" sz="1100" baseline="0">
              <a:solidFill>
                <a:srgbClr val="FF0000"/>
              </a:solidFill>
              <a:latin typeface="Calibri" panose="020F0502020204030204" pitchFamily="34" charset="0"/>
              <a:ea typeface="+mn-ea"/>
              <a:cs typeface="+mn-cs"/>
            </a:rPr>
            <a:t> </a:t>
          </a:r>
          <a:r>
            <a:rPr lang="fr-FR" sz="1100" baseline="0">
              <a:solidFill>
                <a:schemeClr val="bg1">
                  <a:lumMod val="50000"/>
                </a:schemeClr>
              </a:solidFill>
              <a:latin typeface="Calibri" panose="020F0502020204030204" pitchFamily="34" charset="0"/>
              <a:ea typeface="+mn-ea"/>
              <a:cs typeface="+mn-cs"/>
            </a:rPr>
            <a:t>demi-journées ont été déposées en 2022, pour préparer ou assiter à une instance;</a:t>
          </a:r>
        </a:p>
        <a:p>
          <a:r>
            <a:rPr lang="fr-FR" sz="1800" baseline="0">
              <a:solidFill>
                <a:schemeClr val="bg1">
                  <a:lumMod val="50000"/>
                </a:schemeClr>
              </a:solidFill>
              <a:latin typeface="Calibri" panose="020F0502020204030204" pitchFamily="34" charset="0"/>
              <a:ea typeface="+mn-ea"/>
              <a:cs typeface="+mn-cs"/>
            </a:rPr>
            <a:t>44</a:t>
          </a:r>
          <a:r>
            <a:rPr lang="fr-FR" sz="1100" baseline="0">
              <a:solidFill>
                <a:schemeClr val="bg1">
                  <a:lumMod val="50000"/>
                </a:schemeClr>
              </a:solidFill>
              <a:latin typeface="Calibri" panose="020F0502020204030204" pitchFamily="34" charset="0"/>
              <a:ea typeface="+mn-ea"/>
              <a:cs typeface="+mn-cs"/>
            </a:rPr>
            <a:t> en 2021 et </a:t>
          </a:r>
          <a:r>
            <a:rPr lang="fr-FR" sz="1800" baseline="0">
              <a:solidFill>
                <a:schemeClr val="bg1">
                  <a:lumMod val="50000"/>
                </a:schemeClr>
              </a:solidFill>
              <a:latin typeface="Calibri" panose="020F0502020204030204" pitchFamily="34" charset="0"/>
              <a:ea typeface="+mn-ea"/>
              <a:cs typeface="+mn-cs"/>
            </a:rPr>
            <a:t>82</a:t>
          </a:r>
          <a:r>
            <a:rPr lang="fr-FR" sz="1100" baseline="0">
              <a:solidFill>
                <a:schemeClr val="bg1">
                  <a:lumMod val="50000"/>
                </a:schemeClr>
              </a:solidFill>
              <a:latin typeface="Calibri" panose="020F0502020204030204" pitchFamily="34" charset="0"/>
              <a:ea typeface="+mn-ea"/>
              <a:cs typeface="+mn-cs"/>
            </a:rPr>
            <a:t> en 2020</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45719</xdr:colOff>
      <xdr:row>69</xdr:row>
      <xdr:rowOff>55244</xdr:rowOff>
    </xdr:from>
    <xdr:to>
      <xdr:col>14</xdr:col>
      <xdr:colOff>123825</xdr:colOff>
      <xdr:row>72</xdr:row>
      <xdr:rowOff>180975</xdr:rowOff>
    </xdr:to>
    <xdr:sp macro="" textlink="">
      <xdr:nvSpPr>
        <xdr:cNvPr id="2" name="ZoneTexte 1">
          <a:extLst>
            <a:ext uri="{FF2B5EF4-FFF2-40B4-BE49-F238E27FC236}">
              <a16:creationId xmlns:a16="http://schemas.microsoft.com/office/drawing/2014/main" id="{00000000-0008-0000-2500-000002000000}"/>
            </a:ext>
          </a:extLst>
        </xdr:cNvPr>
        <xdr:cNvSpPr txBox="1"/>
      </xdr:nvSpPr>
      <xdr:spPr>
        <a:xfrm>
          <a:off x="331469" y="12809219"/>
          <a:ext cx="10708006" cy="6591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b="0">
              <a:solidFill>
                <a:schemeClr val="bg1">
                  <a:lumMod val="50000"/>
                </a:schemeClr>
              </a:solidFill>
              <a:latin typeface="Calibri" pitchFamily="34" charset="0"/>
              <a:ea typeface="+mn-ea"/>
              <a:cs typeface="Calibri" pitchFamily="34" charset="0"/>
            </a:rPr>
            <a:t>Selon les problématiques rencontrées, l'assistante sociale du  personnel a un rôle d'écoute, d'information, d'orientation et de conseil. L'accompagnement social nécessite parfois un soutien direct à l'accomplissement des démarches, un suivi budgétaire et la mise en place d'aides financières. L'objectif étant de contribuer à un retour à l'autonomie des personnes rencontrées.</a:t>
          </a:r>
        </a:p>
        <a:p>
          <a:pPr algn="just"/>
          <a:r>
            <a:rPr lang="fr-FR" sz="900" b="0">
              <a:solidFill>
                <a:schemeClr val="bg1">
                  <a:lumMod val="50000"/>
                </a:schemeClr>
              </a:solidFill>
              <a:latin typeface="Calibri" pitchFamily="34" charset="0"/>
              <a:ea typeface="+mn-ea"/>
              <a:cs typeface="Calibri" pitchFamily="34" charset="0"/>
            </a:rPr>
            <a:t>Le personnel qui sollicite le service social, au-delà d'un soutien technique, peut trouver également un espace de paroles où peuvent s'exprimer les inquiétudes, les souffrances dans une relation protégée par le secret professionnel. On note une progression des demandes d'écoute et de soutien moral depuis la crise sanitaire.</a:t>
          </a:r>
        </a:p>
      </xdr:txBody>
    </xdr:sp>
    <xdr:clientData/>
  </xdr:twoCellAnchor>
  <xdr:twoCellAnchor>
    <xdr:from>
      <xdr:col>1</xdr:col>
      <xdr:colOff>251458</xdr:colOff>
      <xdr:row>57</xdr:row>
      <xdr:rowOff>3811</xdr:rowOff>
    </xdr:from>
    <xdr:to>
      <xdr:col>13</xdr:col>
      <xdr:colOff>15240</xdr:colOff>
      <xdr:row>61</xdr:row>
      <xdr:rowOff>68581</xdr:rowOff>
    </xdr:to>
    <xdr:sp macro="" textlink="">
      <xdr:nvSpPr>
        <xdr:cNvPr id="4" name="ZoneTexte 3">
          <a:extLst>
            <a:ext uri="{FF2B5EF4-FFF2-40B4-BE49-F238E27FC236}">
              <a16:creationId xmlns:a16="http://schemas.microsoft.com/office/drawing/2014/main" id="{00000000-0008-0000-2500-000004000000}"/>
            </a:ext>
          </a:extLst>
        </xdr:cNvPr>
        <xdr:cNvSpPr txBox="1"/>
      </xdr:nvSpPr>
      <xdr:spPr>
        <a:xfrm>
          <a:off x="533398" y="10808971"/>
          <a:ext cx="9799322" cy="58293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a:solidFill>
                <a:schemeClr val="bg1">
                  <a:lumMod val="50000"/>
                </a:schemeClr>
              </a:solidFill>
              <a:latin typeface="Calibri" panose="020F0502020204030204" pitchFamily="34" charset="0"/>
              <a:ea typeface="+mn-ea"/>
              <a:cs typeface="+mn-cs"/>
            </a:rPr>
            <a:t>Les personnels BIATSS sont les plus représentés et plus majoritairement les personnels de catégorie C, population confrontée à des situations plus précaires. Les profils familiaux sont variés  et correspondent  aux configurations familiales présentes  au sein de notre société.</a:t>
          </a:r>
        </a:p>
        <a:p>
          <a:pPr algn="just"/>
          <a:r>
            <a:rPr lang="fr-FR" sz="900">
              <a:solidFill>
                <a:schemeClr val="bg1">
                  <a:lumMod val="50000"/>
                </a:schemeClr>
              </a:solidFill>
              <a:latin typeface="Calibri" panose="020F0502020204030204" pitchFamily="34" charset="0"/>
              <a:ea typeface="+mn-ea"/>
              <a:cs typeface="+mn-cs"/>
            </a:rPr>
            <a:t>Les demandes provenant de familles monoparentales et de personnes vivant seules sont en augmentation et touchent une population principalement féminine. </a:t>
          </a:r>
        </a:p>
      </xdr:txBody>
    </xdr:sp>
    <xdr:clientData/>
  </xdr:twoCellAnchor>
  <xdr:twoCellAnchor>
    <xdr:from>
      <xdr:col>1</xdr:col>
      <xdr:colOff>51434</xdr:colOff>
      <xdr:row>74</xdr:row>
      <xdr:rowOff>104775</xdr:rowOff>
    </xdr:from>
    <xdr:to>
      <xdr:col>14</xdr:col>
      <xdr:colOff>167639</xdr:colOff>
      <xdr:row>77</xdr:row>
      <xdr:rowOff>121920</xdr:rowOff>
    </xdr:to>
    <xdr:sp macro="" textlink="">
      <xdr:nvSpPr>
        <xdr:cNvPr id="5" name="ZoneTexte 4">
          <a:extLst>
            <a:ext uri="{FF2B5EF4-FFF2-40B4-BE49-F238E27FC236}">
              <a16:creationId xmlns:a16="http://schemas.microsoft.com/office/drawing/2014/main" id="{00000000-0008-0000-2500-000005000000}"/>
            </a:ext>
          </a:extLst>
        </xdr:cNvPr>
        <xdr:cNvSpPr txBox="1"/>
      </xdr:nvSpPr>
      <xdr:spPr>
        <a:xfrm>
          <a:off x="325754" y="14140815"/>
          <a:ext cx="8162925" cy="405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bg1">
                  <a:lumMod val="50000"/>
                </a:schemeClr>
              </a:solidFill>
              <a:latin typeface="Calibri" pitchFamily="34" charset="0"/>
              <a:ea typeface="+mn-ea"/>
              <a:cs typeface="+mn-cs"/>
            </a:rPr>
            <a:t>Depuis le passage aux RCE (01/01/2009), l'Université Jean Monnet est en charge des différentes prestations sociales ouvertes aux personnels de l'Université.</a:t>
          </a:r>
          <a:r>
            <a:rPr lang="fr-FR" sz="900" baseline="0">
              <a:solidFill>
                <a:schemeClr val="bg1">
                  <a:lumMod val="50000"/>
                </a:schemeClr>
              </a:solidFill>
              <a:latin typeface="Calibri" pitchFamily="34" charset="0"/>
              <a:ea typeface="+mn-ea"/>
              <a:cs typeface="+mn-cs"/>
            </a:rPr>
            <a:t> </a:t>
          </a:r>
          <a:r>
            <a:rPr lang="fr-FR" sz="900">
              <a:solidFill>
                <a:schemeClr val="bg1">
                  <a:lumMod val="50000"/>
                </a:schemeClr>
              </a:solidFill>
              <a:latin typeface="Calibri" pitchFamily="34" charset="0"/>
              <a:ea typeface="+mn-ea"/>
              <a:cs typeface="+mn-cs"/>
            </a:rPr>
            <a:t>Tous les personnels peuvent prétendre à ces prestations quel que soit leur statut (titulaires et contractuels).</a:t>
          </a:r>
        </a:p>
      </xdr:txBody>
    </xdr:sp>
    <xdr:clientData/>
  </xdr:twoCellAnchor>
  <xdr:twoCellAnchor>
    <xdr:from>
      <xdr:col>1</xdr:col>
      <xdr:colOff>95250</xdr:colOff>
      <xdr:row>28</xdr:row>
      <xdr:rowOff>133350</xdr:rowOff>
    </xdr:from>
    <xdr:to>
      <xdr:col>8</xdr:col>
      <xdr:colOff>457200</xdr:colOff>
      <xdr:row>32</xdr:row>
      <xdr:rowOff>133350</xdr:rowOff>
    </xdr:to>
    <xdr:sp macro="" textlink="">
      <xdr:nvSpPr>
        <xdr:cNvPr id="7" name="ZoneTexte 6">
          <a:extLst>
            <a:ext uri="{FF2B5EF4-FFF2-40B4-BE49-F238E27FC236}">
              <a16:creationId xmlns:a16="http://schemas.microsoft.com/office/drawing/2014/main" id="{00000000-0008-0000-2500-000007000000}"/>
            </a:ext>
          </a:extLst>
        </xdr:cNvPr>
        <xdr:cNvSpPr txBox="1"/>
      </xdr:nvSpPr>
      <xdr:spPr>
        <a:xfrm>
          <a:off x="369570" y="5132070"/>
          <a:ext cx="5139690" cy="982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endParaRPr lang="fr-FR" sz="1000" b="0">
            <a:solidFill>
              <a:schemeClr val="bg1">
                <a:lumMod val="50000"/>
              </a:schemeClr>
            </a:solidFill>
            <a:latin typeface="Calibri" pitchFamily="34" charset="0"/>
            <a:cs typeface="Calibri" pitchFamily="34" charset="0"/>
          </a:endParaRPr>
        </a:p>
      </xdr:txBody>
    </xdr:sp>
    <xdr:clientData/>
  </xdr:twoCellAnchor>
  <xdr:twoCellAnchor>
    <xdr:from>
      <xdr:col>1</xdr:col>
      <xdr:colOff>53339</xdr:colOff>
      <xdr:row>65</xdr:row>
      <xdr:rowOff>18100</xdr:rowOff>
    </xdr:from>
    <xdr:to>
      <xdr:col>14</xdr:col>
      <xdr:colOff>83820</xdr:colOff>
      <xdr:row>67</xdr:row>
      <xdr:rowOff>161926</xdr:rowOff>
    </xdr:to>
    <xdr:sp macro="" textlink="">
      <xdr:nvSpPr>
        <xdr:cNvPr id="8" name="ZoneTexte 7">
          <a:extLst>
            <a:ext uri="{FF2B5EF4-FFF2-40B4-BE49-F238E27FC236}">
              <a16:creationId xmlns:a16="http://schemas.microsoft.com/office/drawing/2014/main" id="{00000000-0008-0000-2500-000008000000}"/>
            </a:ext>
          </a:extLst>
        </xdr:cNvPr>
        <xdr:cNvSpPr txBox="1"/>
      </xdr:nvSpPr>
      <xdr:spPr>
        <a:xfrm>
          <a:off x="348614" y="12362500"/>
          <a:ext cx="8812531" cy="448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a:solidFill>
                <a:schemeClr val="bg1">
                  <a:lumMod val="50000"/>
                </a:schemeClr>
              </a:solidFill>
              <a:latin typeface="Calibri" panose="020F0502020204030204" pitchFamily="34" charset="0"/>
            </a:rPr>
            <a:t>Les accompagnements réalisés sont axés sur de l'information spécifique par rapport aux droits, aux dispositifs et aux professionnels existants dans le champ du handicap (aménagement de poste, Fonds d'Insertion pour les personnels Handicapés -FIPHFP)</a:t>
          </a:r>
          <a:r>
            <a:rPr lang="fr-FR" sz="900" baseline="0">
              <a:solidFill>
                <a:schemeClr val="bg1">
                  <a:lumMod val="50000"/>
                </a:schemeClr>
              </a:solidFill>
              <a:latin typeface="Calibri" panose="020F0502020204030204" pitchFamily="34" charset="0"/>
            </a:rPr>
            <a:t> en collaboration avec le Médecin de prévention </a:t>
          </a:r>
          <a:r>
            <a:rPr lang="fr-FR" sz="900" baseline="0">
              <a:solidFill>
                <a:schemeClr val="bg1">
                  <a:lumMod val="50000"/>
                </a:schemeClr>
              </a:solidFill>
              <a:latin typeface="Calibri" panose="020F0502020204030204" pitchFamily="34" charset="0"/>
              <a:ea typeface="+mn-ea"/>
              <a:cs typeface="+mn-cs"/>
            </a:rPr>
            <a:t>et le correspondant handicap.</a:t>
          </a:r>
        </a:p>
      </xdr:txBody>
    </xdr:sp>
    <xdr:clientData/>
  </xdr:twoCellAnchor>
  <xdr:twoCellAnchor>
    <xdr:from>
      <xdr:col>1</xdr:col>
      <xdr:colOff>19049</xdr:colOff>
      <xdr:row>92</xdr:row>
      <xdr:rowOff>47625</xdr:rowOff>
    </xdr:from>
    <xdr:to>
      <xdr:col>14</xdr:col>
      <xdr:colOff>259080</xdr:colOff>
      <xdr:row>96</xdr:row>
      <xdr:rowOff>60960</xdr:rowOff>
    </xdr:to>
    <xdr:sp macro="" textlink="">
      <xdr:nvSpPr>
        <xdr:cNvPr id="11" name="ZoneTexte 10">
          <a:extLst>
            <a:ext uri="{FF2B5EF4-FFF2-40B4-BE49-F238E27FC236}">
              <a16:creationId xmlns:a16="http://schemas.microsoft.com/office/drawing/2014/main" id="{00000000-0008-0000-2500-00000B000000}"/>
            </a:ext>
          </a:extLst>
        </xdr:cNvPr>
        <xdr:cNvSpPr txBox="1"/>
      </xdr:nvSpPr>
      <xdr:spPr>
        <a:xfrm>
          <a:off x="308609" y="17131665"/>
          <a:ext cx="9269731" cy="546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a:solidFill>
                <a:schemeClr val="bg1">
                  <a:lumMod val="50000"/>
                </a:schemeClr>
              </a:solidFill>
              <a:latin typeface="Calibri" panose="020F0502020204030204" pitchFamily="34" charset="0"/>
            </a:rPr>
            <a:t>L’article 20 de la loi n° 2008-1330 du 17 décembre 2008 de financement de la sécurité sociale pour 2009 a modifié l’état du droit applicable en matière de prise en charge, par les employeurs, des frais de transports de leurs salariés au titre de leurs déplacements entre leur domicile et leur lieu de travail, en rendant obligatoire la prise en charge partielle, par l’employeur, des titres d’abonnement de transport public et de service public de location de vélos. La</a:t>
          </a:r>
          <a:r>
            <a:rPr lang="fr-FR" sz="900" baseline="0">
              <a:solidFill>
                <a:schemeClr val="bg1">
                  <a:lumMod val="50000"/>
                </a:schemeClr>
              </a:solidFill>
              <a:latin typeface="Calibri" panose="020F0502020204030204" pitchFamily="34" charset="0"/>
            </a:rPr>
            <a:t> participation de l'employeur est à hauteur de 50% et dans la limite d'un plafond. </a:t>
          </a:r>
          <a:endParaRPr lang="fr-FR" sz="900">
            <a:solidFill>
              <a:schemeClr val="bg1">
                <a:lumMod val="50000"/>
              </a:schemeClr>
            </a:solidFill>
            <a:latin typeface="Calibri" panose="020F0502020204030204" pitchFamily="34" charset="0"/>
          </a:endParaRPr>
        </a:p>
      </xdr:txBody>
    </xdr:sp>
    <xdr:clientData/>
  </xdr:twoCellAnchor>
  <xdr:twoCellAnchor>
    <xdr:from>
      <xdr:col>1</xdr:col>
      <xdr:colOff>102870</xdr:colOff>
      <xdr:row>86</xdr:row>
      <xdr:rowOff>38100</xdr:rowOff>
    </xdr:from>
    <xdr:to>
      <xdr:col>7</xdr:col>
      <xdr:colOff>666750</xdr:colOff>
      <xdr:row>89</xdr:row>
      <xdr:rowOff>142875</xdr:rowOff>
    </xdr:to>
    <xdr:sp macro="" textlink="">
      <xdr:nvSpPr>
        <xdr:cNvPr id="9" name="ZoneTexte 8">
          <a:extLst>
            <a:ext uri="{FF2B5EF4-FFF2-40B4-BE49-F238E27FC236}">
              <a16:creationId xmlns:a16="http://schemas.microsoft.com/office/drawing/2014/main" id="{00000000-0008-0000-2500-000009000000}"/>
            </a:ext>
          </a:extLst>
        </xdr:cNvPr>
        <xdr:cNvSpPr txBox="1"/>
      </xdr:nvSpPr>
      <xdr:spPr>
        <a:xfrm>
          <a:off x="388620" y="16554450"/>
          <a:ext cx="554545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900">
            <a:solidFill>
              <a:srgbClr val="C00000"/>
            </a:solidFill>
            <a:latin typeface="Calibri" pitchFamily="34" charset="0"/>
            <a:ea typeface="+mn-ea"/>
            <a:cs typeface="+mn-cs"/>
          </a:endParaRPr>
        </a:p>
      </xdr:txBody>
    </xdr:sp>
    <xdr:clientData/>
  </xdr:twoCellAnchor>
  <xdr:twoCellAnchor>
    <xdr:from>
      <xdr:col>10</xdr:col>
      <xdr:colOff>662940</xdr:colOff>
      <xdr:row>98</xdr:row>
      <xdr:rowOff>49530</xdr:rowOff>
    </xdr:from>
    <xdr:to>
      <xdr:col>14</xdr:col>
      <xdr:colOff>371475</xdr:colOff>
      <xdr:row>102</xdr:row>
      <xdr:rowOff>66675</xdr:rowOff>
    </xdr:to>
    <xdr:sp macro="" textlink="">
      <xdr:nvSpPr>
        <xdr:cNvPr id="3" name="ZoneTexte 2">
          <a:extLst>
            <a:ext uri="{FF2B5EF4-FFF2-40B4-BE49-F238E27FC236}">
              <a16:creationId xmlns:a16="http://schemas.microsoft.com/office/drawing/2014/main" id="{B0C4B485-2F1A-423F-A19F-637F951EE5CD}"/>
            </a:ext>
          </a:extLst>
        </xdr:cNvPr>
        <xdr:cNvSpPr txBox="1"/>
      </xdr:nvSpPr>
      <xdr:spPr>
        <a:xfrm>
          <a:off x="8787765" y="18604230"/>
          <a:ext cx="3223260" cy="9410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a:solidFill>
                <a:schemeClr val="bg1">
                  <a:lumMod val="50000"/>
                </a:schemeClr>
              </a:solidFill>
              <a:latin typeface="Calibri" panose="020F0502020204030204" pitchFamily="34" charset="0"/>
              <a:cs typeface="Calibri" panose="020F0502020204030204" pitchFamily="34" charset="0"/>
            </a:rPr>
            <a:t>% femmes bénéficiant de la participation</a:t>
          </a:r>
          <a:r>
            <a:rPr lang="fr-FR" sz="900" baseline="0">
              <a:solidFill>
                <a:schemeClr val="bg1">
                  <a:lumMod val="50000"/>
                </a:schemeClr>
              </a:solidFill>
              <a:latin typeface="Calibri" panose="020F0502020204030204" pitchFamily="34" charset="0"/>
              <a:cs typeface="Calibri" panose="020F0502020204030204" pitchFamily="34" charset="0"/>
            </a:rPr>
            <a:t> aux frais de transport :</a:t>
          </a:r>
        </a:p>
        <a:p>
          <a:pPr algn="just"/>
          <a:endParaRPr lang="fr-FR" sz="900" baseline="0">
            <a:solidFill>
              <a:schemeClr val="bg1">
                <a:lumMod val="50000"/>
              </a:schemeClr>
            </a:solidFill>
            <a:latin typeface="Calibri" panose="020F0502020204030204" pitchFamily="34" charset="0"/>
            <a:cs typeface="Calibri" panose="020F0502020204030204" pitchFamily="34" charset="0"/>
          </a:endParaRPr>
        </a:p>
        <a:p>
          <a:r>
            <a:rPr lang="fr-FR" sz="900" baseline="0">
              <a:solidFill>
                <a:schemeClr val="bg1">
                  <a:lumMod val="50000"/>
                </a:schemeClr>
              </a:solidFill>
              <a:latin typeface="Calibri" panose="020F0502020204030204" pitchFamily="34" charset="0"/>
              <a:cs typeface="Calibri" panose="020F0502020204030204" pitchFamily="34" charset="0"/>
            </a:rPr>
            <a:t>enseignants : 44%</a:t>
          </a:r>
        </a:p>
        <a:p>
          <a:r>
            <a:rPr lang="fr-FR" sz="900" baseline="0">
              <a:solidFill>
                <a:schemeClr val="bg1">
                  <a:lumMod val="50000"/>
                </a:schemeClr>
              </a:solidFill>
              <a:latin typeface="Calibri" panose="020F0502020204030204" pitchFamily="34" charset="0"/>
              <a:cs typeface="Calibri" panose="020F0502020204030204" pitchFamily="34" charset="0"/>
            </a:rPr>
            <a:t>BIATSS:  65 %</a:t>
          </a:r>
        </a:p>
      </xdr:txBody>
    </xdr:sp>
    <xdr:clientData/>
  </xdr:twoCellAnchor>
  <xdr:twoCellAnchor>
    <xdr:from>
      <xdr:col>0</xdr:col>
      <xdr:colOff>243839</xdr:colOff>
      <xdr:row>103</xdr:row>
      <xdr:rowOff>53339</xdr:rowOff>
    </xdr:from>
    <xdr:to>
      <xdr:col>14</xdr:col>
      <xdr:colOff>85724</xdr:colOff>
      <xdr:row>106</xdr:row>
      <xdr:rowOff>95250</xdr:rowOff>
    </xdr:to>
    <xdr:sp macro="" textlink="">
      <xdr:nvSpPr>
        <xdr:cNvPr id="6" name="ZoneTexte 5">
          <a:extLst>
            <a:ext uri="{FF2B5EF4-FFF2-40B4-BE49-F238E27FC236}">
              <a16:creationId xmlns:a16="http://schemas.microsoft.com/office/drawing/2014/main" id="{59154164-D2C4-4F88-A0E8-B9DE0CE8AF77}"/>
            </a:ext>
          </a:extLst>
        </xdr:cNvPr>
        <xdr:cNvSpPr txBox="1"/>
      </xdr:nvSpPr>
      <xdr:spPr>
        <a:xfrm>
          <a:off x="243839" y="19646264"/>
          <a:ext cx="11633835" cy="3848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bg1">
                  <a:lumMod val="50000"/>
                </a:schemeClr>
              </a:solidFill>
              <a:latin typeface="Calibri" panose="020F0502020204030204" pitchFamily="34" charset="0"/>
              <a:ea typeface="+mn-ea"/>
              <a:cs typeface="+mn-cs"/>
            </a:rPr>
            <a:t>Depuis le décret n°2020-541 du 9 mai 2020, un nouveau dispositif est mis en place au sein de la Fonction Publique d'Etat : le Forfait Mobilité Durable. Ce remboursement forfaitaire est une prise en charge des frais de transports domicile-travail réalisés avec un vélo (avec ou sans assistance électrique) ou en covoiturage (en tant que conducteur ou passager) pendant au minimum 100 jours par an. L</a:t>
          </a:r>
          <a:r>
            <a:rPr lang="fr-FR" sz="900" baseline="0">
              <a:solidFill>
                <a:schemeClr val="bg1">
                  <a:lumMod val="50000"/>
                </a:schemeClr>
              </a:solidFill>
              <a:latin typeface="Calibri" panose="020F0502020204030204" pitchFamily="34" charset="0"/>
              <a:ea typeface="+mn-ea"/>
              <a:cs typeface="+mn-cs"/>
            </a:rPr>
            <a:t>e montant de c</a:t>
          </a:r>
          <a:r>
            <a:rPr lang="fr-FR" sz="900">
              <a:solidFill>
                <a:schemeClr val="bg1">
                  <a:lumMod val="50000"/>
                </a:schemeClr>
              </a:solidFill>
              <a:latin typeface="Calibri" panose="020F0502020204030204" pitchFamily="34" charset="0"/>
              <a:ea typeface="+mn-ea"/>
              <a:cs typeface="+mn-cs"/>
            </a:rPr>
            <a:t>e forfait est fixé</a:t>
          </a:r>
          <a:r>
            <a:rPr lang="fr-FR" sz="900" baseline="0">
              <a:solidFill>
                <a:schemeClr val="bg1">
                  <a:lumMod val="50000"/>
                </a:schemeClr>
              </a:solidFill>
              <a:latin typeface="Calibri" panose="020F0502020204030204" pitchFamily="34" charset="0"/>
              <a:ea typeface="+mn-ea"/>
              <a:cs typeface="+mn-cs"/>
            </a:rPr>
            <a:t> à 200€ par an.</a:t>
          </a:r>
          <a:r>
            <a:rPr lang="fr-FR" sz="900">
              <a:solidFill>
                <a:schemeClr val="bg1">
                  <a:lumMod val="50000"/>
                </a:schemeClr>
              </a:solidFill>
              <a:latin typeface="Calibri" panose="020F0502020204030204" pitchFamily="34" charset="0"/>
              <a:ea typeface="+mn-ea"/>
              <a:cs typeface="+mn-cs"/>
            </a:rPr>
            <a:t> </a:t>
          </a:r>
        </a:p>
      </xdr:txBody>
    </xdr:sp>
    <xdr:clientData/>
  </xdr:twoCellAnchor>
  <xdr:twoCellAnchor>
    <xdr:from>
      <xdr:col>8</xdr:col>
      <xdr:colOff>142874</xdr:colOff>
      <xdr:row>37</xdr:row>
      <xdr:rowOff>180975</xdr:rowOff>
    </xdr:from>
    <xdr:to>
      <xdr:col>13</xdr:col>
      <xdr:colOff>190499</xdr:colOff>
      <xdr:row>38</xdr:row>
      <xdr:rowOff>247650</xdr:rowOff>
    </xdr:to>
    <xdr:sp macro="" textlink="">
      <xdr:nvSpPr>
        <xdr:cNvPr id="10" name="ZoneTexte 9">
          <a:extLst>
            <a:ext uri="{FF2B5EF4-FFF2-40B4-BE49-F238E27FC236}">
              <a16:creationId xmlns:a16="http://schemas.microsoft.com/office/drawing/2014/main" id="{75456953-0C21-43E0-B08F-944FF588FE62}"/>
            </a:ext>
          </a:extLst>
        </xdr:cNvPr>
        <xdr:cNvSpPr txBox="1"/>
      </xdr:nvSpPr>
      <xdr:spPr>
        <a:xfrm>
          <a:off x="6362699" y="7096125"/>
          <a:ext cx="51911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900">
            <a:solidFill>
              <a:schemeClr val="bg1">
                <a:lumMod val="50000"/>
              </a:schemeClr>
            </a:solidFill>
            <a:latin typeface="Calibri" panose="020F0502020204030204" pitchFamily="34" charset="0"/>
            <a:ea typeface="+mn-ea"/>
            <a:cs typeface="+mn-cs"/>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39</xdr:row>
      <xdr:rowOff>151555</xdr:rowOff>
    </xdr:from>
    <xdr:to>
      <xdr:col>13</xdr:col>
      <xdr:colOff>512989</xdr:colOff>
      <xdr:row>56</xdr:row>
      <xdr:rowOff>11401</xdr:rowOff>
    </xdr:to>
    <xdr:graphicFrame macro="">
      <xdr:nvGraphicFramePr>
        <xdr:cNvPr id="4" name="Graphique 3">
          <a:extLst>
            <a:ext uri="{FF2B5EF4-FFF2-40B4-BE49-F238E27FC236}">
              <a16:creationId xmlns:a16="http://schemas.microsoft.com/office/drawing/2014/main" id="{00000000-0008-0000-2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28</xdr:row>
      <xdr:rowOff>66675</xdr:rowOff>
    </xdr:from>
    <xdr:to>
      <xdr:col>13</xdr:col>
      <xdr:colOff>668866</xdr:colOff>
      <xdr:row>36</xdr:row>
      <xdr:rowOff>52916</xdr:rowOff>
    </xdr:to>
    <xdr:sp macro="" textlink="">
      <xdr:nvSpPr>
        <xdr:cNvPr id="5" name="ZoneTexte 4">
          <a:extLst>
            <a:ext uri="{FF2B5EF4-FFF2-40B4-BE49-F238E27FC236}">
              <a16:creationId xmlns:a16="http://schemas.microsoft.com/office/drawing/2014/main" id="{00000000-0008-0000-2600-000005000000}"/>
            </a:ext>
          </a:extLst>
        </xdr:cNvPr>
        <xdr:cNvSpPr txBox="1"/>
      </xdr:nvSpPr>
      <xdr:spPr>
        <a:xfrm>
          <a:off x="76200" y="5886450"/>
          <a:ext cx="10584391" cy="1110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eaLnBrk="1" fontAlgn="auto" latinLnBrk="0" hangingPunct="1"/>
          <a:endParaRPr lang="fr-FR" sz="1050">
            <a:solidFill>
              <a:schemeClr val="bg1">
                <a:lumMod val="50000"/>
              </a:schemeClr>
            </a:solidFill>
            <a:latin typeface="Calibri" panose="020F0502020204030204" pitchFamily="34" charset="0"/>
            <a:ea typeface="+mn-ea"/>
            <a:cs typeface="+mn-cs"/>
          </a:endParaRPr>
        </a:p>
      </xdr:txBody>
    </xdr:sp>
    <xdr:clientData/>
  </xdr:twoCellAnchor>
  <xdr:twoCellAnchor>
    <xdr:from>
      <xdr:col>6</xdr:col>
      <xdr:colOff>349250</xdr:colOff>
      <xdr:row>9</xdr:row>
      <xdr:rowOff>112395</xdr:rowOff>
    </xdr:from>
    <xdr:to>
      <xdr:col>13</xdr:col>
      <xdr:colOff>793749</xdr:colOff>
      <xdr:row>10</xdr:row>
      <xdr:rowOff>328084</xdr:rowOff>
    </xdr:to>
    <xdr:sp macro="" textlink="">
      <xdr:nvSpPr>
        <xdr:cNvPr id="6" name="ZoneTexte 5">
          <a:extLst>
            <a:ext uri="{FF2B5EF4-FFF2-40B4-BE49-F238E27FC236}">
              <a16:creationId xmlns:a16="http://schemas.microsoft.com/office/drawing/2014/main" id="{00000000-0008-0000-2600-000006000000}"/>
            </a:ext>
          </a:extLst>
        </xdr:cNvPr>
        <xdr:cNvSpPr txBox="1"/>
      </xdr:nvSpPr>
      <xdr:spPr>
        <a:xfrm>
          <a:off x="5831417" y="1985645"/>
          <a:ext cx="5196415" cy="4485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accent1">
                  <a:lumMod val="75000"/>
                </a:schemeClr>
              </a:solidFill>
              <a:effectLst/>
              <a:latin typeface="Calibri" panose="020F0502020204030204" pitchFamily="34" charset="0"/>
              <a:ea typeface="+mn-ea"/>
              <a:cs typeface="+mn-cs"/>
            </a:rPr>
            <a:t>L’Université Jean Monnet mène une politique volontariste en faveur de l’intégration des travailleurs handicapés. A ce titre, l'établissement :</a:t>
          </a:r>
        </a:p>
        <a:p>
          <a:endParaRPr lang="fr-FR" sz="900">
            <a:solidFill>
              <a:schemeClr val="bg1">
                <a:lumMod val="50000"/>
              </a:schemeClr>
            </a:solidFill>
            <a:latin typeface="Calibri" panose="020F0502020204030204" pitchFamily="34" charset="0"/>
            <a:ea typeface="+mn-ea"/>
            <a:cs typeface="+mn-cs"/>
          </a:endParaRPr>
        </a:p>
      </xdr:txBody>
    </xdr:sp>
    <xdr:clientData/>
  </xdr:twoCellAnchor>
  <xdr:twoCellAnchor>
    <xdr:from>
      <xdr:col>0</xdr:col>
      <xdr:colOff>211664</xdr:colOff>
      <xdr:row>9</xdr:row>
      <xdr:rowOff>137584</xdr:rowOff>
    </xdr:from>
    <xdr:to>
      <xdr:col>5</xdr:col>
      <xdr:colOff>539750</xdr:colOff>
      <xdr:row>23</xdr:row>
      <xdr:rowOff>306917</xdr:rowOff>
    </xdr:to>
    <xdr:sp macro="" textlink="">
      <xdr:nvSpPr>
        <xdr:cNvPr id="9" name="Organigramme : Alternative 8">
          <a:extLst>
            <a:ext uri="{FF2B5EF4-FFF2-40B4-BE49-F238E27FC236}">
              <a16:creationId xmlns:a16="http://schemas.microsoft.com/office/drawing/2014/main" id="{00000000-0008-0000-2600-000009000000}"/>
            </a:ext>
          </a:extLst>
        </xdr:cNvPr>
        <xdr:cNvSpPr/>
      </xdr:nvSpPr>
      <xdr:spPr>
        <a:xfrm>
          <a:off x="211664" y="1883834"/>
          <a:ext cx="5037669" cy="2878666"/>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050" b="1">
              <a:solidFill>
                <a:schemeClr val="lt1"/>
              </a:solidFill>
              <a:effectLst/>
              <a:latin typeface="Calibri" panose="020F0502020204030204" pitchFamily="34" charset="0"/>
              <a:ea typeface="+mn-ea"/>
              <a:cs typeface="+mn-cs"/>
            </a:rPr>
            <a:t>Les mesures mises en oeuvre pour l'accueil et le maintien dans l'emploi des personnes en situation de handicap</a:t>
          </a:r>
        </a:p>
        <a:p>
          <a:endParaRPr lang="fr-FR" sz="1000">
            <a:solidFill>
              <a:schemeClr val="lt1"/>
            </a:solidFill>
            <a:effectLst/>
            <a:latin typeface="Calibri" panose="020F0502020204030204" pitchFamily="34" charset="0"/>
            <a:ea typeface="+mn-ea"/>
            <a:cs typeface="+mn-cs"/>
          </a:endParaRPr>
        </a:p>
        <a:p>
          <a:r>
            <a:rPr lang="fr-FR" sz="1000">
              <a:solidFill>
                <a:schemeClr val="lt1"/>
              </a:solidFill>
              <a:effectLst/>
              <a:latin typeface="Calibri" panose="020F0502020204030204" pitchFamily="34" charset="0"/>
              <a:ea typeface="+mn-ea"/>
              <a:cs typeface="+mn-cs"/>
            </a:rPr>
            <a:t>- Adaptation des conditions matérielles et de durée pour le déroulement des concours</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Formations adaptées au handicap et les formations spécifiques au handicap</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Temps partiel de droit</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Aménagements d'horaire</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a:t>
          </a:r>
          <a:r>
            <a:rPr lang="fr-FR" sz="1000" baseline="0">
              <a:solidFill>
                <a:schemeClr val="lt1"/>
              </a:solidFill>
              <a:effectLst/>
              <a:latin typeface="Calibri" panose="020F0502020204030204" pitchFamily="34" charset="0"/>
              <a:ea typeface="+mn-ea"/>
              <a:cs typeface="+mn-cs"/>
            </a:rPr>
            <a:t> Télétravail </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Priorité pour les mutations, détachements, mises à disposition</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Conditions particulières de départ à la retraite</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Chèques vacances</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Frais de déménagement </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Prise en charge des frais de taxi</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Adaptation du poste de travail</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Mise à disposition de matériel spécifique</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Mise à disposition d'accompagnants</a:t>
          </a:r>
          <a:endParaRPr lang="fr-FR" sz="1000">
            <a:effectLst/>
            <a:latin typeface="Calibri" panose="020F0502020204030204" pitchFamily="34" charset="0"/>
          </a:endParaRPr>
        </a:p>
        <a:p>
          <a:pPr algn="l"/>
          <a:endParaRPr lang="fr-FR" sz="1000">
            <a:latin typeface="Calibri" panose="020F0502020204030204" pitchFamily="34" charset="0"/>
          </a:endParaRPr>
        </a:p>
      </xdr:txBody>
    </xdr:sp>
    <xdr:clientData/>
  </xdr:twoCellAnchor>
  <xdr:twoCellAnchor>
    <xdr:from>
      <xdr:col>7</xdr:col>
      <xdr:colOff>21167</xdr:colOff>
      <xdr:row>11</xdr:row>
      <xdr:rowOff>78317</xdr:rowOff>
    </xdr:from>
    <xdr:to>
      <xdr:col>13</xdr:col>
      <xdr:colOff>529167</xdr:colOff>
      <xdr:row>23</xdr:row>
      <xdr:rowOff>243417</xdr:rowOff>
    </xdr:to>
    <xdr:graphicFrame macro="">
      <xdr:nvGraphicFramePr>
        <xdr:cNvPr id="10" name="Diagramme 9">
          <a:extLst>
            <a:ext uri="{FF2B5EF4-FFF2-40B4-BE49-F238E27FC236}">
              <a16:creationId xmlns:a16="http://schemas.microsoft.com/office/drawing/2014/main" id="{00000000-0008-0000-2600-00000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4</xdr:col>
      <xdr:colOff>209549</xdr:colOff>
      <xdr:row>57</xdr:row>
      <xdr:rowOff>1</xdr:rowOff>
    </xdr:from>
    <xdr:to>
      <xdr:col>6</xdr:col>
      <xdr:colOff>571500</xdr:colOff>
      <xdr:row>58</xdr:row>
      <xdr:rowOff>114301</xdr:rowOff>
    </xdr:to>
    <xdr:sp macro="" textlink="">
      <xdr:nvSpPr>
        <xdr:cNvPr id="7" name="ZoneTexte 6">
          <a:extLst>
            <a:ext uri="{FF2B5EF4-FFF2-40B4-BE49-F238E27FC236}">
              <a16:creationId xmlns:a16="http://schemas.microsoft.com/office/drawing/2014/main" id="{30541F6F-D354-4237-AC2A-1BE9AF913B0A}"/>
            </a:ext>
          </a:extLst>
        </xdr:cNvPr>
        <xdr:cNvSpPr txBox="1"/>
      </xdr:nvSpPr>
      <xdr:spPr>
        <a:xfrm>
          <a:off x="3819524" y="9925051"/>
          <a:ext cx="2095501"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strike="noStrike" baseline="0">
              <a:solidFill>
                <a:srgbClr val="00B050"/>
              </a:solidFill>
              <a:latin typeface="Calibri" panose="020F0502020204030204" pitchFamily="34" charset="0"/>
            </a:rPr>
            <a:t>7</a:t>
          </a:r>
          <a:r>
            <a:rPr lang="fr-FR" sz="1000" strike="noStrike" baseline="0">
              <a:solidFill>
                <a:srgbClr val="FF0000"/>
              </a:solidFill>
              <a:latin typeface="Calibri" panose="020F0502020204030204" pitchFamily="34" charset="0"/>
            </a:rPr>
            <a:t> </a:t>
          </a:r>
          <a:r>
            <a:rPr lang="fr-FR" sz="1000" strike="noStrike" baseline="0">
              <a:solidFill>
                <a:schemeClr val="bg1">
                  <a:lumMod val="50000"/>
                </a:schemeClr>
              </a:solidFill>
              <a:latin typeface="Calibri" panose="020F0502020204030204" pitchFamily="34" charset="0"/>
            </a:rPr>
            <a:t>recrutements réalisés en </a:t>
          </a:r>
          <a:r>
            <a:rPr lang="fr-FR" sz="1600" strike="noStrike" baseline="0">
              <a:solidFill>
                <a:schemeClr val="bg1">
                  <a:lumMod val="50000"/>
                </a:schemeClr>
              </a:solidFill>
              <a:latin typeface="Calibri" panose="020F0502020204030204" pitchFamily="34" charset="0"/>
              <a:ea typeface="+mn-ea"/>
              <a:cs typeface="+mn-cs"/>
            </a:rPr>
            <a:t>2022</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160021</xdr:colOff>
      <xdr:row>1</xdr:row>
      <xdr:rowOff>51434</xdr:rowOff>
    </xdr:from>
    <xdr:to>
      <xdr:col>12</xdr:col>
      <xdr:colOff>716281</xdr:colOff>
      <xdr:row>7</xdr:row>
      <xdr:rowOff>45720</xdr:rowOff>
    </xdr:to>
    <xdr:sp macro="" textlink="">
      <xdr:nvSpPr>
        <xdr:cNvPr id="2" name="ZoneTexte 1">
          <a:extLst>
            <a:ext uri="{FF2B5EF4-FFF2-40B4-BE49-F238E27FC236}">
              <a16:creationId xmlns:a16="http://schemas.microsoft.com/office/drawing/2014/main" id="{00000000-0008-0000-2700-000002000000}"/>
            </a:ext>
          </a:extLst>
        </xdr:cNvPr>
        <xdr:cNvSpPr txBox="1"/>
      </xdr:nvSpPr>
      <xdr:spPr>
        <a:xfrm>
          <a:off x="160021" y="289559"/>
          <a:ext cx="9404985" cy="128016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900" b="0">
              <a:solidFill>
                <a:schemeClr val="bg1">
                  <a:lumMod val="50000"/>
                </a:schemeClr>
              </a:solidFill>
              <a:effectLst/>
              <a:latin typeface="Calibri" panose="020F0502020204030204" pitchFamily="34" charset="0"/>
              <a:ea typeface="+mn-ea"/>
              <a:cs typeface="Calibri" panose="020F0502020204030204" pitchFamily="34" charset="0"/>
            </a:rPr>
            <a:t>L'université Jean Monnet a développé une politique culturelle</a:t>
          </a:r>
          <a:r>
            <a:rPr lang="fr-FR" sz="900" b="0" baseline="0">
              <a:solidFill>
                <a:schemeClr val="bg1">
                  <a:lumMod val="50000"/>
                </a:schemeClr>
              </a:solidFill>
              <a:effectLst/>
              <a:latin typeface="Calibri" panose="020F0502020204030204" pitchFamily="34" charset="0"/>
              <a:ea typeface="+mn-ea"/>
              <a:cs typeface="Calibri" panose="020F0502020204030204" pitchFamily="34" charset="0"/>
            </a:rPr>
            <a:t> ambitieuse visant  à :</a:t>
          </a:r>
        </a:p>
        <a:p>
          <a:endParaRPr lang="fr-FR" sz="900" b="0" baseline="0">
            <a:solidFill>
              <a:schemeClr val="bg1">
                <a:lumMod val="50000"/>
              </a:schemeClr>
            </a:solidFill>
            <a:effectLst/>
            <a:latin typeface="Calibri" panose="020F0502020204030204" pitchFamily="34" charset="0"/>
            <a:ea typeface="+mn-ea"/>
            <a:cs typeface="Calibri" panose="020F0502020204030204" pitchFamily="34" charset="0"/>
          </a:endParaRPr>
        </a:p>
        <a:p>
          <a:r>
            <a:rPr lang="fr-FR" sz="900" b="0" baseline="0">
              <a:solidFill>
                <a:schemeClr val="bg1">
                  <a:lumMod val="50000"/>
                </a:schemeClr>
              </a:solidFill>
              <a:effectLst/>
              <a:latin typeface="Calibri" panose="020F0502020204030204" pitchFamily="34" charset="0"/>
              <a:ea typeface="+mn-ea"/>
              <a:cs typeface="Calibri" panose="020F0502020204030204" pitchFamily="34" charset="0"/>
            </a:rPr>
            <a:t>- faciliter l'accès à l'offre culturelle locale au plus grand nombre (personnels et leur famille),</a:t>
          </a:r>
        </a:p>
        <a:p>
          <a:r>
            <a:rPr lang="fr-FR" sz="900" b="0" baseline="0">
              <a:solidFill>
                <a:schemeClr val="bg1">
                  <a:lumMod val="50000"/>
                </a:schemeClr>
              </a:solidFill>
              <a:effectLst/>
              <a:latin typeface="Calibri" panose="020F0502020204030204" pitchFamily="34" charset="0"/>
              <a:ea typeface="+mn-ea"/>
              <a:cs typeface="Calibri" panose="020F0502020204030204" pitchFamily="34" charset="0"/>
            </a:rPr>
            <a:t>- créer </a:t>
          </a:r>
          <a:r>
            <a:rPr lang="fr-FR" sz="900" b="0">
              <a:solidFill>
                <a:schemeClr val="bg1">
                  <a:lumMod val="50000"/>
                </a:schemeClr>
              </a:solidFill>
              <a:effectLst/>
              <a:latin typeface="Calibri" pitchFamily="34" charset="0"/>
              <a:ea typeface="+mn-ea"/>
              <a:cs typeface="Calibri" pitchFamily="34" charset="0"/>
            </a:rPr>
            <a:t>une nouvelle scène culturelle stéphanoise au cœur du campus Tréfilerie avec un lieu dédié aux spectacles vivants</a:t>
          </a:r>
          <a:r>
            <a:rPr lang="fr-FR" sz="900" b="0" baseline="0">
              <a:solidFill>
                <a:schemeClr val="bg1">
                  <a:lumMod val="50000"/>
                </a:schemeClr>
              </a:solidFill>
              <a:effectLst/>
              <a:latin typeface="Calibri" pitchFamily="34" charset="0"/>
              <a:ea typeface="+mn-ea"/>
              <a:cs typeface="Calibri" pitchFamily="34" charset="0"/>
            </a:rPr>
            <a:t> </a:t>
          </a:r>
          <a:r>
            <a:rPr lang="fr-FR" sz="900" b="0">
              <a:solidFill>
                <a:schemeClr val="bg1">
                  <a:lumMod val="50000"/>
                </a:schemeClr>
              </a:solidFill>
              <a:effectLst/>
              <a:latin typeface="Calibri" pitchFamily="34" charset="0"/>
              <a:ea typeface="+mn-ea"/>
              <a:cs typeface="Calibri" pitchFamily="34" charset="0"/>
            </a:rPr>
            <a:t>(salle de spectacles de la Maison de l’Université),</a:t>
          </a:r>
        </a:p>
        <a:p>
          <a:pPr marL="0" marR="0" indent="0" defTabSz="914400" eaLnBrk="1" fontAlgn="auto" latinLnBrk="0" hangingPunct="1">
            <a:lnSpc>
              <a:spcPct val="100000"/>
            </a:lnSpc>
            <a:spcBef>
              <a:spcPts val="0"/>
            </a:spcBef>
            <a:spcAft>
              <a:spcPts val="0"/>
            </a:spcAft>
            <a:buClrTx/>
            <a:buSzTx/>
            <a:buFontTx/>
            <a:buNone/>
            <a:tabLst/>
            <a:defRPr/>
          </a:pPr>
          <a:r>
            <a:rPr lang="fr-FR" sz="900" b="0">
              <a:solidFill>
                <a:schemeClr val="bg1">
                  <a:lumMod val="50000"/>
                </a:schemeClr>
              </a:solidFill>
              <a:effectLst/>
              <a:latin typeface="Calibri" pitchFamily="34" charset="0"/>
              <a:ea typeface="+mn-ea"/>
              <a:cs typeface="Calibri" pitchFamily="34" charset="0"/>
            </a:rPr>
            <a:t>- développer</a:t>
          </a:r>
          <a:r>
            <a:rPr lang="fr-FR" sz="900" b="0" baseline="0">
              <a:solidFill>
                <a:schemeClr val="bg1">
                  <a:lumMod val="50000"/>
                </a:schemeClr>
              </a:solidFill>
              <a:effectLst/>
              <a:latin typeface="Calibri" pitchFamily="34" charset="0"/>
              <a:ea typeface="+mn-ea"/>
              <a:cs typeface="Calibri" pitchFamily="34" charset="0"/>
            </a:rPr>
            <a:t> </a:t>
          </a:r>
          <a:r>
            <a:rPr lang="fr-FR" sz="900" b="0">
              <a:solidFill>
                <a:schemeClr val="bg1">
                  <a:lumMod val="50000"/>
                </a:schemeClr>
              </a:solidFill>
              <a:effectLst/>
              <a:latin typeface="Calibri" pitchFamily="34" charset="0"/>
              <a:ea typeface="+mn-ea"/>
              <a:cs typeface="Calibri" pitchFamily="34" charset="0"/>
            </a:rPr>
            <a:t>un grand évènement culturel annuel </a:t>
          </a:r>
          <a:r>
            <a:rPr lang="fr-FR" sz="900" b="0" i="1">
              <a:solidFill>
                <a:schemeClr val="bg1">
                  <a:lumMod val="50000"/>
                </a:schemeClr>
              </a:solidFill>
              <a:effectLst/>
              <a:latin typeface="Calibri" pitchFamily="34" charset="0"/>
              <a:ea typeface="+mn-ea"/>
              <a:cs typeface="Calibri" pitchFamily="34" charset="0"/>
            </a:rPr>
            <a:t>le</a:t>
          </a:r>
          <a:r>
            <a:rPr lang="fr-FR" sz="900" b="0">
              <a:solidFill>
                <a:schemeClr val="bg1">
                  <a:lumMod val="50000"/>
                </a:schemeClr>
              </a:solidFill>
              <a:effectLst/>
              <a:latin typeface="Calibri" pitchFamily="34" charset="0"/>
              <a:ea typeface="+mn-ea"/>
              <a:cs typeface="Calibri" pitchFamily="34" charset="0"/>
            </a:rPr>
            <a:t> </a:t>
          </a:r>
          <a:r>
            <a:rPr lang="fr-FR" sz="900" b="0" i="1">
              <a:solidFill>
                <a:schemeClr val="bg1">
                  <a:lumMod val="50000"/>
                </a:schemeClr>
              </a:solidFill>
              <a:effectLst/>
              <a:latin typeface="Calibri" pitchFamily="34" charset="0"/>
              <a:ea typeface="+mn-ea"/>
              <a:cs typeface="Calibri" pitchFamily="34" charset="0"/>
            </a:rPr>
            <a:t>Fest’U v</a:t>
          </a:r>
          <a:r>
            <a:rPr lang="fr-FR" sz="900" b="0">
              <a:solidFill>
                <a:schemeClr val="bg1">
                  <a:lumMod val="50000"/>
                </a:schemeClr>
              </a:solidFill>
              <a:effectLst/>
              <a:latin typeface="Calibri" pitchFamily="34" charset="0"/>
              <a:ea typeface="+mn-ea"/>
              <a:cs typeface="Calibri" pitchFamily="34" charset="0"/>
            </a:rPr>
            <a:t>isant à valoriser les pratiques artistiques amateurs de nombreux membres de la communauté universitaire.</a:t>
          </a:r>
        </a:p>
        <a:p>
          <a:pPr marL="0" marR="0" indent="0" defTabSz="914400" eaLnBrk="1" fontAlgn="auto" latinLnBrk="0" hangingPunct="1">
            <a:lnSpc>
              <a:spcPct val="100000"/>
            </a:lnSpc>
            <a:spcBef>
              <a:spcPts val="0"/>
            </a:spcBef>
            <a:spcAft>
              <a:spcPts val="0"/>
            </a:spcAft>
            <a:buClrTx/>
            <a:buSzTx/>
            <a:buFontTx/>
            <a:buNone/>
            <a:tabLst/>
            <a:defRPr/>
          </a:pPr>
          <a:endParaRPr lang="fr-FR" sz="900" b="0">
            <a:solidFill>
              <a:schemeClr val="bg1">
                <a:lumMod val="50000"/>
              </a:schemeClr>
            </a:solidFill>
            <a:effectLst/>
            <a:latin typeface="Calibri" pitchFamily="34" charset="0"/>
            <a:ea typeface="+mn-ea"/>
            <a:cs typeface="Calibri" pitchFamily="34" charset="0"/>
          </a:endParaRPr>
        </a:p>
        <a:p>
          <a:pPr eaLnBrk="1" fontAlgn="auto" latinLnBrk="0" hangingPunct="1"/>
          <a:r>
            <a:rPr lang="fr-FR" sz="900" b="0">
              <a:solidFill>
                <a:schemeClr val="bg1">
                  <a:lumMod val="50000"/>
                </a:schemeClr>
              </a:solidFill>
              <a:effectLst/>
              <a:latin typeface="Calibri" pitchFamily="34" charset="0"/>
              <a:ea typeface="+mn-ea"/>
              <a:cs typeface="Calibri" pitchFamily="34" charset="0"/>
            </a:rPr>
            <a:t>En parallèle, l'UJM a continué  à chercher à renforcer le lien  social entre les membres de la communauté universitaire  </a:t>
          </a:r>
          <a:br>
            <a:rPr lang="fr-FR" sz="900" b="0">
              <a:solidFill>
                <a:schemeClr val="bg1">
                  <a:lumMod val="50000"/>
                </a:schemeClr>
              </a:solidFill>
              <a:effectLst/>
              <a:latin typeface="Calibri" pitchFamily="34" charset="0"/>
              <a:ea typeface="+mn-ea"/>
              <a:cs typeface="Calibri" pitchFamily="34" charset="0"/>
            </a:rPr>
          </a:br>
          <a:r>
            <a:rPr lang="fr-FR" sz="900" b="0">
              <a:solidFill>
                <a:schemeClr val="bg1">
                  <a:lumMod val="50000"/>
                </a:schemeClr>
              </a:solidFill>
              <a:effectLst/>
              <a:latin typeface="Calibri" pitchFamily="34" charset="0"/>
              <a:ea typeface="+mn-ea"/>
              <a:cs typeface="Calibri" pitchFamily="34" charset="0"/>
            </a:rPr>
            <a:t>en diversifiant les moments de convivialité  (repas des personnels, arbre de noël)  et offres d'activités de loisirs (voyages, ateliers...)</a:t>
          </a:r>
        </a:p>
        <a:p>
          <a:br>
            <a:rPr lang="fr-FR" sz="1100" b="1">
              <a:solidFill>
                <a:schemeClr val="dk1"/>
              </a:solidFill>
              <a:effectLst/>
              <a:latin typeface="+mn-lt"/>
              <a:ea typeface="+mn-ea"/>
              <a:cs typeface="+mn-cs"/>
            </a:rPr>
          </a:br>
          <a:endParaRPr lang="fr-FR"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fr-FR" sz="900" b="0">
            <a:solidFill>
              <a:schemeClr val="bg1">
                <a:lumMod val="50000"/>
              </a:schemeClr>
            </a:solidFill>
            <a:effectLst/>
            <a:latin typeface="Calibri" pitchFamily="34" charset="0"/>
            <a:ea typeface="+mn-ea"/>
            <a:cs typeface="Calibri" pitchFamily="34" charset="0"/>
          </a:endParaRPr>
        </a:p>
        <a:p>
          <a:endParaRPr lang="fr-FR" sz="800" b="0">
            <a:solidFill>
              <a:schemeClr val="bg1">
                <a:lumMod val="50000"/>
              </a:schemeClr>
            </a:solidFill>
            <a:effectLst/>
            <a:latin typeface="Calibri" pitchFamily="34" charset="0"/>
            <a:ea typeface="+mn-ea"/>
            <a:cs typeface="Calibri" pitchFamily="34" charset="0"/>
          </a:endParaRPr>
        </a:p>
        <a:p>
          <a:endParaRPr lang="fr-FR" sz="800" b="1">
            <a:solidFill>
              <a:srgbClr val="FF0000"/>
            </a:solidFill>
            <a:effectLst/>
            <a:latin typeface="Calibri" pitchFamily="34" charset="0"/>
            <a:ea typeface="+mn-ea"/>
            <a:cs typeface="Calibri" pitchFamily="34" charset="0"/>
          </a:endParaRPr>
        </a:p>
        <a:p>
          <a:r>
            <a:rPr lang="fr-FR" sz="1100">
              <a:solidFill>
                <a:schemeClr val="dk1"/>
              </a:solidFill>
              <a:effectLst/>
              <a:latin typeface="+mn-lt"/>
              <a:ea typeface="+mn-ea"/>
              <a:cs typeface="+mn-cs"/>
            </a:rPr>
            <a:t> </a:t>
          </a:r>
        </a:p>
        <a:p>
          <a:endParaRPr lang="fr-FR" sz="800" b="1">
            <a:solidFill>
              <a:srgbClr val="FF0000"/>
            </a:solidFill>
            <a:effectLst/>
            <a:latin typeface="Calibri" panose="020F0502020204030204" pitchFamily="34" charset="0"/>
            <a:ea typeface="+mn-ea"/>
            <a:cs typeface="Calibri" panose="020F0502020204030204" pitchFamily="34" charset="0"/>
          </a:endParaRPr>
        </a:p>
      </xdr:txBody>
    </xdr:sp>
    <xdr:clientData/>
  </xdr:twoCellAnchor>
  <xdr:oneCellAnchor>
    <xdr:from>
      <xdr:col>9</xdr:col>
      <xdr:colOff>62865</xdr:colOff>
      <xdr:row>13</xdr:row>
      <xdr:rowOff>99059</xdr:rowOff>
    </xdr:from>
    <xdr:ext cx="2849880" cy="2929891"/>
    <xdr:sp macro="" textlink="">
      <xdr:nvSpPr>
        <xdr:cNvPr id="11" name="ZoneTexte 10">
          <a:extLst>
            <a:ext uri="{FF2B5EF4-FFF2-40B4-BE49-F238E27FC236}">
              <a16:creationId xmlns:a16="http://schemas.microsoft.com/office/drawing/2014/main" id="{F99B0073-BC5E-442B-9DCE-172AB33A26DF}"/>
            </a:ext>
          </a:extLst>
        </xdr:cNvPr>
        <xdr:cNvSpPr txBox="1"/>
      </xdr:nvSpPr>
      <xdr:spPr>
        <a:xfrm>
          <a:off x="7111365" y="3137534"/>
          <a:ext cx="2849880" cy="2929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fr-FR" sz="1100">
              <a:solidFill>
                <a:sysClr val="windowText" lastClr="000000"/>
              </a:solidFill>
              <a:latin typeface="Calibri" panose="020F0502020204030204" pitchFamily="34" charset="0"/>
              <a:sym typeface="Wingdings" panose="05000000000000000000" pitchFamily="2" charset="2"/>
            </a:rPr>
            <a:t></a:t>
          </a:r>
          <a:r>
            <a:rPr lang="fr-FR" sz="1100">
              <a:solidFill>
                <a:schemeClr val="tx1"/>
              </a:solidFill>
              <a:effectLst/>
              <a:latin typeface="+mn-lt"/>
              <a:ea typeface="+mn-ea"/>
              <a:cs typeface="+mn-cs"/>
              <a:sym typeface="Wingdings" panose="05000000000000000000" pitchFamily="2" charset="2"/>
            </a:rPr>
            <a:t></a:t>
          </a:r>
          <a:r>
            <a:rPr lang="fr-FR" sz="900">
              <a:solidFill>
                <a:srgbClr val="FF00FF"/>
              </a:solidFill>
              <a:latin typeface="Calibri" panose="020F0502020204030204" pitchFamily="34" charset="0"/>
              <a:sym typeface="Wingdings" panose="05000000000000000000" pitchFamily="2" charset="2"/>
            </a:rPr>
            <a:t> </a:t>
          </a:r>
          <a:r>
            <a:rPr lang="fr-FR" sz="900">
              <a:solidFill>
                <a:schemeClr val="bg1">
                  <a:lumMod val="50000"/>
                </a:schemeClr>
              </a:solidFill>
              <a:latin typeface="Calibri" panose="020F0502020204030204" pitchFamily="34" charset="0"/>
            </a:rPr>
            <a:t>La salle de spectacles de la Maison de l'Université a été créée dans le cadre du contrat quinquennal précédent avec pour objectif d'accueillir 36 évènements par an . Cet objectif a été presque doublé  5 ans après l'ouverture du lieu prouvant de l'utilité d'un tel outil au coeur de notre principal campus.</a:t>
          </a:r>
        </a:p>
        <a:p>
          <a:pPr algn="just"/>
          <a:endParaRPr lang="fr-FR" sz="900">
            <a:solidFill>
              <a:schemeClr val="bg1">
                <a:lumMod val="50000"/>
              </a:schemeClr>
            </a:solidFill>
            <a:latin typeface="Calibri" panose="020F0502020204030204" pitchFamily="34" charset="0"/>
          </a:endParaRPr>
        </a:p>
        <a:p>
          <a:pPr algn="just"/>
          <a:r>
            <a:rPr lang="fr-FR" sz="1100">
              <a:solidFill>
                <a:schemeClr val="bg1">
                  <a:lumMod val="50000"/>
                </a:schemeClr>
              </a:solidFill>
              <a:effectLst/>
              <a:latin typeface="+mn-lt"/>
              <a:ea typeface="+mn-ea"/>
              <a:cs typeface="+mn-cs"/>
              <a:sym typeface="Wingdings" panose="05000000000000000000" pitchFamily="2" charset="2"/>
            </a:rPr>
            <a:t></a:t>
          </a:r>
          <a:r>
            <a:rPr lang="fr-FR" sz="900">
              <a:solidFill>
                <a:schemeClr val="bg1">
                  <a:lumMod val="50000"/>
                </a:schemeClr>
              </a:solidFill>
              <a:latin typeface="Calibri" panose="020F0502020204030204" pitchFamily="34" charset="0"/>
              <a:ea typeface="+mn-ea"/>
              <a:cs typeface="+mn-cs"/>
              <a:sym typeface="Wingdings" panose="05000000000000000000" pitchFamily="2" charset="2"/>
            </a:rPr>
            <a:t>Comme le reste des activités de l'UJM, les actions culturelles et de loisirs ont énormément pâti de la crise sanitaire.</a:t>
          </a:r>
        </a:p>
        <a:p>
          <a:pPr algn="just"/>
          <a:endParaRPr lang="fr-FR" sz="1100">
            <a:solidFill>
              <a:schemeClr val="bg1">
                <a:lumMod val="50000"/>
              </a:schemeClr>
            </a:solidFill>
            <a:effectLst/>
            <a:latin typeface="+mn-lt"/>
            <a:ea typeface="+mn-ea"/>
            <a:cs typeface="+mn-cs"/>
            <a:sym typeface="Wingdings" panose="05000000000000000000" pitchFamily="2" charset="2"/>
          </a:endParaRPr>
        </a:p>
        <a:p>
          <a:pPr algn="just"/>
          <a:r>
            <a:rPr lang="fr-FR" sz="1100">
              <a:solidFill>
                <a:schemeClr val="bg1"/>
              </a:solidFill>
              <a:effectLst/>
              <a:latin typeface="+mn-lt"/>
              <a:ea typeface="+mn-ea"/>
              <a:cs typeface="+mn-cs"/>
              <a:sym typeface="Wingdings" panose="05000000000000000000" pitchFamily="2" charset="2"/>
            </a:rPr>
            <a:t> </a:t>
          </a:r>
          <a:r>
            <a:rPr lang="fr-FR" sz="900">
              <a:solidFill>
                <a:schemeClr val="bg1"/>
              </a:solidFill>
              <a:latin typeface="Calibri" panose="020F0502020204030204" pitchFamily="34" charset="0"/>
            </a:rPr>
            <a:t>Le Service Vie des Personnels et des étudiants  (SVPE) a organisé  9 des 11 événements</a:t>
          </a:r>
        </a:p>
        <a:p>
          <a:pPr algn="just"/>
          <a:endParaRPr lang="fr-FR" sz="900">
            <a:solidFill>
              <a:schemeClr val="bg1"/>
            </a:solidFill>
            <a:latin typeface="Calibri" panose="020F0502020204030204" pitchFamily="34" charset="0"/>
          </a:endParaRPr>
        </a:p>
        <a:p>
          <a:pPr algn="just"/>
          <a:r>
            <a:rPr lang="fr-FR" sz="1100">
              <a:solidFill>
                <a:schemeClr val="bg1"/>
              </a:solidFill>
              <a:effectLst/>
              <a:latin typeface="+mn-lt"/>
              <a:ea typeface="+mn-ea"/>
              <a:cs typeface="+mn-cs"/>
              <a:sym typeface="Wingdings" panose="05000000000000000000" pitchFamily="2" charset="2"/>
            </a:rPr>
            <a:t> </a:t>
          </a:r>
          <a:r>
            <a:rPr lang="fr-FR" sz="900">
              <a:solidFill>
                <a:schemeClr val="bg1"/>
              </a:solidFill>
              <a:latin typeface="Calibri" panose="020F0502020204030204" pitchFamily="34" charset="0"/>
            </a:rPr>
            <a:t>La fréquentation moyenne  des  manifestations proposées par le SVPE a dépassé les 58%. Cette baisse de fréquentation</a:t>
          </a:r>
          <a:r>
            <a:rPr lang="fr-FR" sz="900" baseline="0">
              <a:solidFill>
                <a:schemeClr val="bg1"/>
              </a:solidFill>
              <a:latin typeface="Calibri" panose="020F0502020204030204" pitchFamily="34" charset="0"/>
            </a:rPr>
            <a:t> est la conséquence des mesures de distantiation sociale imposé par la crise sanitaire.</a:t>
          </a:r>
          <a:endParaRPr lang="fr-FR" sz="900">
            <a:solidFill>
              <a:schemeClr val="bg1"/>
            </a:solidFill>
            <a:latin typeface="Calibri" panose="020F0502020204030204" pitchFamily="34" charset="0"/>
          </a:endParaRPr>
        </a:p>
        <a:p>
          <a:pPr algn="just"/>
          <a:endParaRPr lang="fr-FR" sz="900">
            <a:solidFill>
              <a:schemeClr val="bg1"/>
            </a:solidFill>
            <a:latin typeface="Calibri" panose="020F0502020204030204" pitchFamily="34" charset="0"/>
          </a:endParaRPr>
        </a:p>
        <a:p>
          <a:pPr algn="just"/>
          <a:r>
            <a:rPr lang="fr-FR" sz="1100">
              <a:solidFill>
                <a:schemeClr val="bg1"/>
              </a:solidFill>
              <a:effectLst/>
              <a:latin typeface="+mn-lt"/>
              <a:ea typeface="+mn-ea"/>
              <a:cs typeface="+mn-cs"/>
              <a:sym typeface="Wingdings" panose="05000000000000000000" pitchFamily="2" charset="2"/>
            </a:rPr>
            <a:t> </a:t>
          </a:r>
          <a:r>
            <a:rPr lang="fr-FR" sz="900">
              <a:solidFill>
                <a:schemeClr val="bg1"/>
              </a:solidFill>
              <a:latin typeface="Calibri" panose="020F0502020204030204" pitchFamily="34" charset="0"/>
            </a:rPr>
            <a:t>Un élargissement du public qui fréquente la salle a été constaté avec davantage de proches des personnels et d'habitants du quartier.</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19</xdr:col>
      <xdr:colOff>63499</xdr:colOff>
      <xdr:row>26</xdr:row>
      <xdr:rowOff>110700</xdr:rowOff>
    </xdr:from>
    <xdr:to>
      <xdr:col>25</xdr:col>
      <xdr:colOff>869949</xdr:colOff>
      <xdr:row>45</xdr:row>
      <xdr:rowOff>56726</xdr:rowOff>
    </xdr:to>
    <xdr:graphicFrame macro="">
      <xdr:nvGraphicFramePr>
        <xdr:cNvPr id="1398100" name="Graphique 5">
          <a:extLst>
            <a:ext uri="{FF2B5EF4-FFF2-40B4-BE49-F238E27FC236}">
              <a16:creationId xmlns:a16="http://schemas.microsoft.com/office/drawing/2014/main" id="{00000000-0008-0000-0500-000054551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94403</xdr:colOff>
      <xdr:row>7</xdr:row>
      <xdr:rowOff>6776</xdr:rowOff>
    </xdr:from>
    <xdr:to>
      <xdr:col>25</xdr:col>
      <xdr:colOff>602402</xdr:colOff>
      <xdr:row>22</xdr:row>
      <xdr:rowOff>143297</xdr:rowOff>
    </xdr:to>
    <xdr:sp macro="" textlink="">
      <xdr:nvSpPr>
        <xdr:cNvPr id="7" name="ZoneTexte 6">
          <a:extLst>
            <a:ext uri="{FF2B5EF4-FFF2-40B4-BE49-F238E27FC236}">
              <a16:creationId xmlns:a16="http://schemas.microsoft.com/office/drawing/2014/main" id="{00000000-0008-0000-0500-000007000000}"/>
            </a:ext>
          </a:extLst>
        </xdr:cNvPr>
        <xdr:cNvSpPr txBox="1"/>
      </xdr:nvSpPr>
      <xdr:spPr>
        <a:xfrm>
          <a:off x="9915736" y="1308526"/>
          <a:ext cx="3492499" cy="2348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chemeClr val="bg1">
                  <a:lumMod val="50000"/>
                </a:schemeClr>
              </a:solidFill>
              <a:latin typeface="Calibri" pitchFamily="34" charset="0"/>
              <a:ea typeface="+mn-ea"/>
              <a:cs typeface="+mn-cs"/>
            </a:rPr>
            <a:t>A l'Université, les enseignants titulaires se répartissent ainsi : </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rgbClr val="00B050"/>
              </a:solidFill>
              <a:latin typeface="Calibri" pitchFamily="34" charset="0"/>
              <a:ea typeface="+mn-ea"/>
              <a:cs typeface="+mn-cs"/>
            </a:rPr>
            <a:t>28</a:t>
          </a:r>
          <a:r>
            <a:rPr lang="fr-FR" sz="1000">
              <a:solidFill>
                <a:schemeClr val="bg1">
                  <a:lumMod val="50000"/>
                </a:schemeClr>
              </a:solidFill>
              <a:latin typeface="Calibri" pitchFamily="34" charset="0"/>
              <a:ea typeface="+mn-ea"/>
              <a:cs typeface="+mn-cs"/>
            </a:rPr>
            <a:t>% Professeurs d'Université</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rgbClr val="00B050"/>
              </a:solidFill>
              <a:latin typeface="Calibri" pitchFamily="34" charset="0"/>
              <a:ea typeface="+mn-ea"/>
              <a:cs typeface="+mn-cs"/>
            </a:rPr>
            <a:t>47</a:t>
          </a:r>
          <a:r>
            <a:rPr lang="fr-FR" sz="1000">
              <a:solidFill>
                <a:schemeClr val="bg1">
                  <a:lumMod val="50000"/>
                </a:schemeClr>
              </a:solidFill>
              <a:latin typeface="Calibri" pitchFamily="34" charset="0"/>
              <a:ea typeface="+mn-ea"/>
              <a:cs typeface="+mn-cs"/>
            </a:rPr>
            <a:t>% Maîtres de conférences</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rgbClr val="00B050"/>
              </a:solidFill>
              <a:latin typeface="Calibri" pitchFamily="34" charset="0"/>
              <a:ea typeface="+mn-ea"/>
              <a:cs typeface="+mn-cs"/>
            </a:rPr>
            <a:t>25</a:t>
          </a:r>
          <a:r>
            <a:rPr lang="fr-FR" sz="1000">
              <a:solidFill>
                <a:schemeClr val="bg1">
                  <a:lumMod val="50000"/>
                </a:schemeClr>
              </a:solidFill>
              <a:latin typeface="Calibri" pitchFamily="34" charset="0"/>
              <a:ea typeface="+mn-ea"/>
              <a:cs typeface="+mn-cs"/>
            </a:rPr>
            <a:t>% Enseignants du 2nd degré</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i="1">
              <a:solidFill>
                <a:schemeClr val="bg1">
                  <a:lumMod val="50000"/>
                </a:schemeClr>
              </a:solidFill>
              <a:latin typeface="Calibri" pitchFamily="34" charset="0"/>
              <a:ea typeface="+mn-ea"/>
              <a:cs typeface="+mn-cs"/>
            </a:rPr>
            <a:t>Nombre important d'enseignants du 2d degré</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i="1">
              <a:solidFill>
                <a:schemeClr val="bg1">
                  <a:lumMod val="50000"/>
                </a:schemeClr>
              </a:solidFill>
              <a:latin typeface="Calibri" pitchFamily="34" charset="0"/>
              <a:ea typeface="+mn-ea"/>
              <a:cs typeface="+mn-cs"/>
            </a:rPr>
            <a:t> notamment dans les IUT </a:t>
          </a:r>
        </a:p>
        <a:p>
          <a:pPr algn="r"/>
          <a:endParaRPr lang="fr-FR" sz="1000">
            <a:solidFill>
              <a:schemeClr val="bg1">
                <a:lumMod val="50000"/>
              </a:schemeClr>
            </a:solidFill>
            <a:latin typeface="Calibri" pitchFamily="34" charset="0"/>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fr-FR" sz="1000" i="1">
              <a:solidFill>
                <a:schemeClr val="bg1">
                  <a:lumMod val="50000"/>
                </a:schemeClr>
              </a:solidFill>
              <a:latin typeface="Calibri" pitchFamily="34" charset="0"/>
              <a:ea typeface="+mn-ea"/>
              <a:cs typeface="+mn-cs"/>
            </a:rPr>
            <a:t>Ratios Ministère de l'Enseignement Supérieur</a:t>
          </a:r>
        </a:p>
        <a:p>
          <a:pPr marL="0" marR="0" indent="0" algn="r" defTabSz="914400" rtl="0" eaLnBrk="1" fontAlgn="auto" latinLnBrk="0" hangingPunct="1">
            <a:lnSpc>
              <a:spcPct val="100000"/>
            </a:lnSpc>
            <a:spcBef>
              <a:spcPts val="0"/>
            </a:spcBef>
            <a:spcAft>
              <a:spcPts val="0"/>
            </a:spcAft>
            <a:buClrTx/>
            <a:buSzTx/>
            <a:buFontTx/>
            <a:buNone/>
            <a:tabLst/>
            <a:defRPr/>
          </a:pPr>
          <a:endParaRPr lang="fr-FR" sz="1000">
            <a:solidFill>
              <a:srgbClr val="FF0000"/>
            </a:solidFill>
            <a:latin typeface="Calibri" pitchFamily="34" charset="0"/>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rgbClr val="00B050"/>
              </a:solidFill>
              <a:latin typeface="Calibri" pitchFamily="34" charset="0"/>
              <a:ea typeface="+mn-ea"/>
              <a:cs typeface="+mn-cs"/>
            </a:rPr>
            <a:t>29</a:t>
          </a:r>
          <a:r>
            <a:rPr lang="fr-FR" sz="1000">
              <a:solidFill>
                <a:schemeClr val="bg1">
                  <a:lumMod val="50000"/>
                </a:schemeClr>
              </a:solidFill>
              <a:latin typeface="Calibri" pitchFamily="34" charset="0"/>
              <a:ea typeface="+mn-ea"/>
              <a:cs typeface="+mn-cs"/>
            </a:rPr>
            <a:t>%  Professeurs d'Université</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rgbClr val="00B050"/>
              </a:solidFill>
              <a:latin typeface="Calibri" pitchFamily="34" charset="0"/>
              <a:ea typeface="+mn-ea"/>
              <a:cs typeface="+mn-cs"/>
            </a:rPr>
            <a:t>52</a:t>
          </a:r>
          <a:r>
            <a:rPr lang="fr-FR" sz="1000">
              <a:solidFill>
                <a:schemeClr val="bg1">
                  <a:lumMod val="50000"/>
                </a:schemeClr>
              </a:solidFill>
              <a:latin typeface="Calibri" pitchFamily="34" charset="0"/>
              <a:ea typeface="+mn-ea"/>
              <a:cs typeface="+mn-cs"/>
            </a:rPr>
            <a:t>%  Maîtres de conférences</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rgbClr val="00B050"/>
              </a:solidFill>
              <a:latin typeface="Calibri" pitchFamily="34" charset="0"/>
              <a:ea typeface="+mn-ea"/>
              <a:cs typeface="+mn-cs"/>
            </a:rPr>
            <a:t>19</a:t>
          </a:r>
          <a:r>
            <a:rPr lang="fr-FR" sz="1000">
              <a:solidFill>
                <a:schemeClr val="bg1">
                  <a:lumMod val="50000"/>
                </a:schemeClr>
              </a:solidFill>
              <a:latin typeface="Calibri" pitchFamily="34" charset="0"/>
              <a:ea typeface="+mn-ea"/>
              <a:cs typeface="+mn-cs"/>
            </a:rPr>
            <a:t>%  Enseignants du 2nd degré </a:t>
          </a:r>
        </a:p>
        <a:p>
          <a:pPr marL="0" marR="0" indent="0" algn="r" defTabSz="914400" rtl="0" eaLnBrk="1" fontAlgn="auto" latinLnBrk="0" hangingPunct="1">
            <a:lnSpc>
              <a:spcPct val="100000"/>
            </a:lnSpc>
            <a:spcBef>
              <a:spcPts val="0"/>
            </a:spcBef>
            <a:spcAft>
              <a:spcPts val="0"/>
            </a:spcAft>
            <a:buClrTx/>
            <a:buSzTx/>
            <a:buFontTx/>
            <a:buNone/>
            <a:tabLst/>
            <a:defRPr/>
          </a:pPr>
          <a:endParaRPr lang="fr-FR" sz="1000">
            <a:solidFill>
              <a:schemeClr val="bg1">
                <a:lumMod val="50000"/>
              </a:schemeClr>
            </a:solidFill>
            <a:latin typeface="Calibri" pitchFamily="34" charset="0"/>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fr-FR" sz="800" i="1">
              <a:solidFill>
                <a:schemeClr val="bg1">
                  <a:lumMod val="50000"/>
                </a:schemeClr>
              </a:solidFill>
              <a:latin typeface="Calibri" pitchFamily="34" charset="0"/>
              <a:ea typeface="+mn-ea"/>
              <a:cs typeface="+mn-cs"/>
            </a:rPr>
            <a:t>(source : Bilan Social MESRI 2019-2020)</a:t>
          </a:r>
        </a:p>
        <a:p>
          <a:endParaRPr lang="fr-FR" sz="900">
            <a:solidFill>
              <a:schemeClr val="bg1">
                <a:lumMod val="50000"/>
              </a:schemeClr>
            </a:solidFill>
            <a:latin typeface="Calibri" pitchFamily="34" charset="0"/>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95250</xdr:colOff>
      <xdr:row>49</xdr:row>
      <xdr:rowOff>0</xdr:rowOff>
    </xdr:from>
    <xdr:to>
      <xdr:col>22</xdr:col>
      <xdr:colOff>466724</xdr:colOff>
      <xdr:row>52</xdr:row>
      <xdr:rowOff>100541</xdr:rowOff>
    </xdr:to>
    <xdr:sp macro="" textlink="">
      <xdr:nvSpPr>
        <xdr:cNvPr id="3" name="ZoneTexte 2">
          <a:extLst>
            <a:ext uri="{FF2B5EF4-FFF2-40B4-BE49-F238E27FC236}">
              <a16:creationId xmlns:a16="http://schemas.microsoft.com/office/drawing/2014/main" id="{0AB949AC-63FF-49EA-8B37-3BD2EF548E6E}"/>
            </a:ext>
          </a:extLst>
        </xdr:cNvPr>
        <xdr:cNvSpPr txBox="1"/>
      </xdr:nvSpPr>
      <xdr:spPr>
        <a:xfrm>
          <a:off x="9990667" y="7736417"/>
          <a:ext cx="2816224" cy="54504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000">
              <a:solidFill>
                <a:srgbClr val="00B050"/>
              </a:solidFill>
              <a:latin typeface="Calibri" pitchFamily="34" charset="0"/>
              <a:ea typeface="+mn-ea"/>
              <a:cs typeface="+mn-cs"/>
            </a:rPr>
            <a:t>On constate une baisse de 4,7 % du nombre d'étudiants</a:t>
          </a:r>
          <a:r>
            <a:rPr lang="fr-FR" sz="1000" baseline="0">
              <a:solidFill>
                <a:srgbClr val="00B050"/>
              </a:solidFill>
              <a:latin typeface="Calibri" pitchFamily="34" charset="0"/>
              <a:ea typeface="+mn-ea"/>
              <a:cs typeface="+mn-cs"/>
            </a:rPr>
            <a:t>, soit 654 étudiants en moins.</a:t>
          </a:r>
          <a:endParaRPr lang="fr-FR" sz="1000">
            <a:solidFill>
              <a:srgbClr val="00B050"/>
            </a:solidFill>
            <a:latin typeface="Calibri" pitchFamily="34" charset="0"/>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18</xdr:row>
      <xdr:rowOff>81914</xdr:rowOff>
    </xdr:from>
    <xdr:to>
      <xdr:col>17</xdr:col>
      <xdr:colOff>0</xdr:colOff>
      <xdr:row>21</xdr:row>
      <xdr:rowOff>66819</xdr:rowOff>
    </xdr:to>
    <xdr:sp macro="" textlink="">
      <xdr:nvSpPr>
        <xdr:cNvPr id="5" name="ZoneTexte 4">
          <a:extLst>
            <a:ext uri="{FF2B5EF4-FFF2-40B4-BE49-F238E27FC236}">
              <a16:creationId xmlns:a16="http://schemas.microsoft.com/office/drawing/2014/main" id="{00000000-0008-0000-0700-000005000000}"/>
            </a:ext>
          </a:extLst>
        </xdr:cNvPr>
        <xdr:cNvSpPr txBox="1"/>
      </xdr:nvSpPr>
      <xdr:spPr>
        <a:xfrm>
          <a:off x="47625" y="2674792"/>
          <a:ext cx="6645852" cy="3706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0">
              <a:solidFill>
                <a:schemeClr val="bg1">
                  <a:lumMod val="50000"/>
                </a:schemeClr>
              </a:solidFill>
              <a:latin typeface="Calibri" pitchFamily="34" charset="0"/>
              <a:ea typeface="+mn-ea"/>
              <a:cs typeface="+mn-cs"/>
            </a:rPr>
            <a:t>Le critère de candidat local retenu ici est celui de l'application ANTARES : candidat ayant eu un contrat dans l'établissement.</a:t>
          </a:r>
        </a:p>
        <a:p>
          <a:r>
            <a:rPr lang="fr-FR" sz="800" b="0">
              <a:solidFill>
                <a:schemeClr val="bg1">
                  <a:lumMod val="50000"/>
                </a:schemeClr>
              </a:solidFill>
              <a:latin typeface="Calibri" pitchFamily="34" charset="0"/>
              <a:ea typeface="+mn-ea"/>
              <a:cs typeface="+mn-cs"/>
            </a:rPr>
            <a:t>Le critère ministériel est,</a:t>
          </a:r>
          <a:r>
            <a:rPr lang="fr-FR" sz="800" b="0" baseline="0">
              <a:solidFill>
                <a:schemeClr val="bg1">
                  <a:lumMod val="50000"/>
                </a:schemeClr>
              </a:solidFill>
              <a:latin typeface="Calibri" pitchFamily="34" charset="0"/>
              <a:ea typeface="+mn-ea"/>
              <a:cs typeface="+mn-cs"/>
            </a:rPr>
            <a:t> </a:t>
          </a:r>
          <a:r>
            <a:rPr lang="fr-FR" sz="800" b="0">
              <a:solidFill>
                <a:schemeClr val="bg1">
                  <a:lumMod val="50000"/>
                </a:schemeClr>
              </a:solidFill>
              <a:latin typeface="Calibri" pitchFamily="34" charset="0"/>
              <a:ea typeface="+mn-ea"/>
              <a:cs typeface="+mn-cs"/>
            </a:rPr>
            <a:t>quant à lui, le lieu de soutenance.</a:t>
          </a:r>
        </a:p>
      </xdr:txBody>
    </xdr:sp>
    <xdr:clientData/>
  </xdr:twoCellAnchor>
  <xdr:twoCellAnchor>
    <xdr:from>
      <xdr:col>18</xdr:col>
      <xdr:colOff>313807</xdr:colOff>
      <xdr:row>2</xdr:row>
      <xdr:rowOff>48144</xdr:rowOff>
    </xdr:from>
    <xdr:to>
      <xdr:col>25</xdr:col>
      <xdr:colOff>337184</xdr:colOff>
      <xdr:row>36</xdr:row>
      <xdr:rowOff>122613</xdr:rowOff>
    </xdr:to>
    <xdr:sp macro="" textlink="">
      <xdr:nvSpPr>
        <xdr:cNvPr id="2" name="ZoneTexte 1">
          <a:extLst>
            <a:ext uri="{FF2B5EF4-FFF2-40B4-BE49-F238E27FC236}">
              <a16:creationId xmlns:a16="http://schemas.microsoft.com/office/drawing/2014/main" id="{00000000-0008-0000-0700-000002000000}"/>
            </a:ext>
          </a:extLst>
        </xdr:cNvPr>
        <xdr:cNvSpPr txBox="1"/>
      </xdr:nvSpPr>
      <xdr:spPr>
        <a:xfrm>
          <a:off x="7476607" y="448194"/>
          <a:ext cx="2318902" cy="5351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200">
              <a:solidFill>
                <a:schemeClr val="bg1">
                  <a:lumMod val="50000"/>
                </a:schemeClr>
              </a:solidFill>
              <a:latin typeface="Calibri" panose="020F0502020204030204" pitchFamily="34" charset="0"/>
              <a:ea typeface="+mn-ea"/>
              <a:cs typeface="+mn-cs"/>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363855</xdr:colOff>
      <xdr:row>16</xdr:row>
      <xdr:rowOff>86418</xdr:rowOff>
    </xdr:from>
    <xdr:to>
      <xdr:col>11</xdr:col>
      <xdr:colOff>546735</xdr:colOff>
      <xdr:row>26</xdr:row>
      <xdr:rowOff>112395</xdr:rowOff>
    </xdr:to>
    <xdr:sp macro="" textlink="">
      <xdr:nvSpPr>
        <xdr:cNvPr id="2" name="ZoneTexte 1">
          <a:extLst>
            <a:ext uri="{FF2B5EF4-FFF2-40B4-BE49-F238E27FC236}">
              <a16:creationId xmlns:a16="http://schemas.microsoft.com/office/drawing/2014/main" id="{00000000-0008-0000-0800-000002000000}"/>
            </a:ext>
          </a:extLst>
        </xdr:cNvPr>
        <xdr:cNvSpPr txBox="1"/>
      </xdr:nvSpPr>
      <xdr:spPr>
        <a:xfrm>
          <a:off x="5897880" y="3096318"/>
          <a:ext cx="4678680" cy="1788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900"/>
            </a:lnSpc>
          </a:pPr>
          <a:endParaRPr lang="fr-FR" sz="1600">
            <a:solidFill>
              <a:schemeClr val="bg1">
                <a:lumMod val="50000"/>
              </a:schemeClr>
            </a:solidFill>
            <a:latin typeface="Calibri" pitchFamily="34" charset="0"/>
            <a:ea typeface="+mn-ea"/>
            <a:cs typeface="+mn-cs"/>
          </a:endParaRPr>
        </a:p>
        <a:p>
          <a:pPr algn="r">
            <a:lnSpc>
              <a:spcPts val="900"/>
            </a:lnSpc>
          </a:pPr>
          <a:r>
            <a:rPr lang="fr-FR" sz="1600">
              <a:solidFill>
                <a:schemeClr val="bg1">
                  <a:lumMod val="50000"/>
                </a:schemeClr>
              </a:solidFill>
              <a:latin typeface="Calibri" pitchFamily="34" charset="0"/>
              <a:ea typeface="+mn-ea"/>
              <a:cs typeface="+mn-cs"/>
            </a:rPr>
            <a:t>Taux de rotation des personnels titulaires</a:t>
          </a:r>
        </a:p>
        <a:p>
          <a:pPr>
            <a:lnSpc>
              <a:spcPts val="900"/>
            </a:lnSpc>
          </a:pPr>
          <a:endParaRPr lang="fr-FR" sz="1200">
            <a:solidFill>
              <a:schemeClr val="bg1">
                <a:lumMod val="50000"/>
              </a:schemeClr>
            </a:solidFill>
            <a:latin typeface="Calibri" pitchFamily="34" charset="0"/>
            <a:ea typeface="+mn-ea"/>
            <a:cs typeface="+mn-cs"/>
          </a:endParaRPr>
        </a:p>
        <a:p>
          <a:pPr algn="r">
            <a:lnSpc>
              <a:spcPts val="900"/>
            </a:lnSpc>
          </a:pPr>
          <a:r>
            <a:rPr lang="fr-FR" sz="900">
              <a:solidFill>
                <a:schemeClr val="bg1">
                  <a:lumMod val="50000"/>
                </a:schemeClr>
              </a:solidFill>
              <a:latin typeface="Calibri" pitchFamily="34" charset="0"/>
              <a:ea typeface="+mn-ea"/>
              <a:cs typeface="+mn-cs"/>
            </a:rPr>
            <a:t>(somme du nombre d'arrivées et du nombre de départs, divisée par deux et rapportée à l'effectif moyen de l'année)</a:t>
          </a:r>
        </a:p>
        <a:p>
          <a:pPr algn="r"/>
          <a:r>
            <a:rPr lang="fr-FR" sz="2000">
              <a:solidFill>
                <a:srgbClr val="00B050"/>
              </a:solidFill>
              <a:latin typeface="Calibri" pitchFamily="34" charset="0"/>
              <a:ea typeface="+mn-ea"/>
              <a:cs typeface="+mn-cs"/>
            </a:rPr>
            <a:t>5,6</a:t>
          </a:r>
          <a:r>
            <a:rPr lang="fr-FR" sz="2000">
              <a:solidFill>
                <a:schemeClr val="bg1">
                  <a:lumMod val="50000"/>
                </a:schemeClr>
              </a:solidFill>
              <a:latin typeface="Calibri" pitchFamily="34" charset="0"/>
              <a:ea typeface="+mn-ea"/>
              <a:cs typeface="+mn-cs"/>
            </a:rPr>
            <a:t>% </a:t>
          </a:r>
          <a:r>
            <a:rPr lang="fr-FR" sz="9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pour la population totale</a:t>
          </a:r>
          <a:r>
            <a:rPr lang="fr-FR" sz="1100" baseline="0">
              <a:solidFill>
                <a:schemeClr val="bg1">
                  <a:lumMod val="50000"/>
                </a:schemeClr>
              </a:solidFill>
              <a:latin typeface="Calibri" pitchFamily="34" charset="0"/>
              <a:ea typeface="+mn-ea"/>
              <a:cs typeface="+mn-cs"/>
            </a:rPr>
            <a:t> (Enseignants et Biatss)</a:t>
          </a:r>
        </a:p>
        <a:p>
          <a:pPr algn="r"/>
          <a:endParaRPr lang="fr-FR" sz="700" baseline="0">
            <a:solidFill>
              <a:schemeClr val="bg1">
                <a:lumMod val="50000"/>
              </a:schemeClr>
            </a:solidFill>
            <a:latin typeface="Calibri" pitchFamily="34" charset="0"/>
            <a:ea typeface="+mn-ea"/>
            <a:cs typeface="+mn-cs"/>
          </a:endParaRPr>
        </a:p>
        <a:p>
          <a:pPr algn="r"/>
          <a:r>
            <a:rPr lang="fr-FR" sz="2000">
              <a:solidFill>
                <a:srgbClr val="00B050"/>
              </a:solidFill>
              <a:latin typeface="Calibri" pitchFamily="34" charset="0"/>
              <a:ea typeface="+mn-ea"/>
              <a:cs typeface="+mn-cs"/>
            </a:rPr>
            <a:t>4,3</a:t>
          </a:r>
          <a:r>
            <a:rPr lang="fr-FR" sz="20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pour la population Enseignants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224154</xdr:colOff>
      <xdr:row>14</xdr:row>
      <xdr:rowOff>70140</xdr:rowOff>
    </xdr:from>
    <xdr:to>
      <xdr:col>15</xdr:col>
      <xdr:colOff>142239</xdr:colOff>
      <xdr:row>20</xdr:row>
      <xdr:rowOff>142875</xdr:rowOff>
    </xdr:to>
    <xdr:sp macro="" textlink="">
      <xdr:nvSpPr>
        <xdr:cNvPr id="5" name="ZoneTexte 4">
          <a:extLst>
            <a:ext uri="{FF2B5EF4-FFF2-40B4-BE49-F238E27FC236}">
              <a16:creationId xmlns:a16="http://schemas.microsoft.com/office/drawing/2014/main" id="{00000000-0008-0000-0A00-000005000000}"/>
            </a:ext>
          </a:extLst>
        </xdr:cNvPr>
        <xdr:cNvSpPr txBox="1"/>
      </xdr:nvSpPr>
      <xdr:spPr>
        <a:xfrm>
          <a:off x="938529" y="2459328"/>
          <a:ext cx="2966085" cy="9776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600" b="0">
              <a:solidFill>
                <a:srgbClr val="00B050"/>
              </a:solidFill>
              <a:latin typeface="Calibri" pitchFamily="34" charset="0"/>
              <a:ea typeface="+mn-ea"/>
              <a:cs typeface="+mn-cs"/>
            </a:rPr>
            <a:t>61</a:t>
          </a:r>
          <a:r>
            <a:rPr lang="fr-FR" sz="1600" b="0">
              <a:solidFill>
                <a:schemeClr val="bg1">
                  <a:lumMod val="50000"/>
                </a:schemeClr>
              </a:solidFill>
              <a:latin typeface="Calibri" pitchFamily="34" charset="0"/>
              <a:ea typeface="+mn-ea"/>
              <a:cs typeface="+mn-cs"/>
            </a:rPr>
            <a:t>%</a:t>
          </a:r>
          <a:r>
            <a:rPr lang="fr-FR" sz="1100" b="0" baseline="0">
              <a:solidFill>
                <a:schemeClr val="bg1">
                  <a:lumMod val="50000"/>
                </a:schemeClr>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de promotions locales (50%</a:t>
          </a:r>
          <a:r>
            <a:rPr lang="fr-FR" sz="1100" b="0" baseline="0">
              <a:solidFill>
                <a:schemeClr val="bg1">
                  <a:lumMod val="50000"/>
                </a:schemeClr>
              </a:solidFill>
              <a:latin typeface="Calibri" pitchFamily="34" charset="0"/>
              <a:ea typeface="+mn-ea"/>
              <a:cs typeface="+mn-cs"/>
            </a:rPr>
            <a:t> en 2021)</a:t>
          </a:r>
          <a:endParaRPr lang="fr-FR" sz="1100" b="0">
            <a:solidFill>
              <a:schemeClr val="bg1">
                <a:lumMod val="50000"/>
              </a:schemeClr>
            </a:solidFill>
            <a:latin typeface="Calibri" pitchFamily="34" charset="0"/>
            <a:ea typeface="+mn-ea"/>
            <a:cs typeface="+mn-cs"/>
          </a:endParaRPr>
        </a:p>
        <a:p>
          <a:r>
            <a:rPr lang="fr-FR" sz="1600" b="0">
              <a:solidFill>
                <a:srgbClr val="00B050"/>
              </a:solidFill>
              <a:latin typeface="Calibri" pitchFamily="34" charset="0"/>
              <a:ea typeface="+mn-ea"/>
              <a:cs typeface="+mn-cs"/>
            </a:rPr>
            <a:t>36</a:t>
          </a:r>
          <a:r>
            <a:rPr lang="fr-FR" sz="1600" b="0">
              <a:solidFill>
                <a:schemeClr val="bg1">
                  <a:lumMod val="50000"/>
                </a:schemeClr>
              </a:solidFill>
              <a:latin typeface="Calibri" pitchFamily="34" charset="0"/>
              <a:ea typeface="+mn-ea"/>
              <a:cs typeface="+mn-cs"/>
            </a:rPr>
            <a:t>%</a:t>
          </a:r>
          <a:r>
            <a:rPr lang="fr-FR" sz="1100" b="0" baseline="0">
              <a:solidFill>
                <a:schemeClr val="bg1">
                  <a:lumMod val="50000"/>
                </a:schemeClr>
              </a:solidFill>
              <a:latin typeface="Calibri" pitchFamily="34" charset="0"/>
              <a:ea typeface="+mn-ea"/>
              <a:cs typeface="+mn-cs"/>
            </a:rPr>
            <a:t> au titre du CNU (50% en 2021)</a:t>
          </a:r>
        </a:p>
        <a:p>
          <a:r>
            <a:rPr lang="fr-FR" sz="1600" b="0">
              <a:solidFill>
                <a:srgbClr val="00B050"/>
              </a:solidFill>
              <a:latin typeface="Calibri" pitchFamily="34" charset="0"/>
              <a:ea typeface="+mn-ea"/>
              <a:cs typeface="+mn-cs"/>
            </a:rPr>
            <a:t>4</a:t>
          </a:r>
          <a:r>
            <a:rPr lang="fr-FR" sz="1100" b="0">
              <a:solidFill>
                <a:schemeClr val="bg1">
                  <a:lumMod val="50000"/>
                </a:schemeClr>
              </a:solidFill>
              <a:latin typeface="Calibri" pitchFamily="34" charset="0"/>
              <a:ea typeface="+mn-ea"/>
              <a:cs typeface="+mn-cs"/>
            </a:rPr>
            <a:t>% de</a:t>
          </a:r>
          <a:r>
            <a:rPr lang="fr-FR" sz="1100" b="0" baseline="0">
              <a:solidFill>
                <a:schemeClr val="bg1">
                  <a:lumMod val="50000"/>
                </a:schemeClr>
              </a:solidFill>
              <a:latin typeface="Calibri" pitchFamily="34" charset="0"/>
              <a:ea typeface="+mn-ea"/>
              <a:cs typeface="+mn-cs"/>
            </a:rPr>
            <a:t> promotions spécifiques (0% en 2021)</a:t>
          </a:r>
          <a:endParaRPr lang="fr-FR" sz="1100" b="0">
            <a:solidFill>
              <a:schemeClr val="bg1">
                <a:lumMod val="50000"/>
              </a:schemeClr>
            </a:solidFill>
            <a:latin typeface="Calibri" pitchFamily="34" charset="0"/>
            <a:ea typeface="+mn-ea"/>
            <a:cs typeface="+mn-cs"/>
          </a:endParaRPr>
        </a:p>
        <a:p>
          <a:endParaRPr lang="fr-FR" sz="1100" b="0">
            <a:solidFill>
              <a:schemeClr val="bg1">
                <a:lumMod val="50000"/>
              </a:schemeClr>
            </a:solidFill>
            <a:latin typeface="Calibri" pitchFamily="34" charset="0"/>
            <a:ea typeface="+mn-ea"/>
            <a:cs typeface="+mn-cs"/>
          </a:endParaRPr>
        </a:p>
      </xdr:txBody>
    </xdr:sp>
    <xdr:clientData/>
  </xdr:twoCellAnchor>
  <xdr:twoCellAnchor>
    <xdr:from>
      <xdr:col>21</xdr:col>
      <xdr:colOff>172490</xdr:colOff>
      <xdr:row>23</xdr:row>
      <xdr:rowOff>97155</xdr:rowOff>
    </xdr:from>
    <xdr:to>
      <xdr:col>32</xdr:col>
      <xdr:colOff>20437</xdr:colOff>
      <xdr:row>37</xdr:row>
      <xdr:rowOff>58189</xdr:rowOff>
    </xdr:to>
    <xdr:graphicFrame macro="">
      <xdr:nvGraphicFramePr>
        <xdr:cNvPr id="1417783" name="Graphique 1">
          <a:extLst>
            <a:ext uri="{FF2B5EF4-FFF2-40B4-BE49-F238E27FC236}">
              <a16:creationId xmlns:a16="http://schemas.microsoft.com/office/drawing/2014/main" id="{00000000-0008-0000-0A00-000037A21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60267</xdr:colOff>
      <xdr:row>23</xdr:row>
      <xdr:rowOff>49012</xdr:rowOff>
    </xdr:from>
    <xdr:to>
      <xdr:col>14</xdr:col>
      <xdr:colOff>193617</xdr:colOff>
      <xdr:row>36</xdr:row>
      <xdr:rowOff>113782</xdr:rowOff>
    </xdr:to>
    <xdr:graphicFrame macro="">
      <xdr:nvGraphicFramePr>
        <xdr:cNvPr id="1417784" name="Graphique 7">
          <a:extLst>
            <a:ext uri="{FF2B5EF4-FFF2-40B4-BE49-F238E27FC236}">
              <a16:creationId xmlns:a16="http://schemas.microsoft.com/office/drawing/2014/main" id="{00000000-0008-0000-0A00-000038A21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37</xdr:col>
      <xdr:colOff>227012</xdr:colOff>
      <xdr:row>2</xdr:row>
      <xdr:rowOff>89218</xdr:rowOff>
    </xdr:from>
    <xdr:to>
      <xdr:col>41</xdr:col>
      <xdr:colOff>244158</xdr:colOff>
      <xdr:row>30</xdr:row>
      <xdr:rowOff>141288</xdr:rowOff>
    </xdr:to>
    <xdr:sp macro="" textlink="">
      <xdr:nvSpPr>
        <xdr:cNvPr id="8" name="ZoneTexte 7">
          <a:extLst>
            <a:ext uri="{FF2B5EF4-FFF2-40B4-BE49-F238E27FC236}">
              <a16:creationId xmlns:a16="http://schemas.microsoft.com/office/drawing/2014/main" id="{00000000-0008-0000-0A00-000008000000}"/>
            </a:ext>
          </a:extLst>
        </xdr:cNvPr>
        <xdr:cNvSpPr txBox="1"/>
      </xdr:nvSpPr>
      <xdr:spPr>
        <a:xfrm>
          <a:off x="9593262" y="470218"/>
          <a:ext cx="2334896" cy="44732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000" b="0">
              <a:solidFill>
                <a:schemeClr val="bg1">
                  <a:lumMod val="50000"/>
                </a:schemeClr>
              </a:solidFill>
              <a:latin typeface="Calibri" pitchFamily="34" charset="0"/>
              <a:ea typeface="+mn-ea"/>
              <a:cs typeface="+mn-cs"/>
            </a:rPr>
            <a:t>Les femmes représentent </a:t>
          </a:r>
          <a:r>
            <a:rPr lang="fr-FR" sz="1600" b="0">
              <a:solidFill>
                <a:srgbClr val="00B050"/>
              </a:solidFill>
              <a:latin typeface="Calibri" pitchFamily="34" charset="0"/>
              <a:ea typeface="+mn-ea"/>
              <a:cs typeface="+mn-cs"/>
            </a:rPr>
            <a:t>33</a:t>
          </a:r>
          <a:r>
            <a:rPr lang="fr-FR" sz="1600" b="0">
              <a:solidFill>
                <a:schemeClr val="bg1">
                  <a:lumMod val="50000"/>
                </a:schemeClr>
              </a:solidFill>
              <a:latin typeface="Calibri" pitchFamily="34" charset="0"/>
              <a:ea typeface="+mn-ea"/>
              <a:cs typeface="+mn-cs"/>
            </a:rPr>
            <a:t>%</a:t>
          </a:r>
          <a:r>
            <a:rPr lang="fr-FR" sz="1000" b="0">
              <a:solidFill>
                <a:schemeClr val="bg1">
                  <a:lumMod val="50000"/>
                </a:schemeClr>
              </a:solidFill>
              <a:latin typeface="Calibri" pitchFamily="34" charset="0"/>
              <a:ea typeface="+mn-ea"/>
              <a:cs typeface="+mn-cs"/>
            </a:rPr>
            <a:t>  de la population promouvable. (39% en 2021)</a:t>
          </a:r>
        </a:p>
        <a:p>
          <a:pPr algn="r"/>
          <a:endParaRPr lang="fr-FR" sz="1000" b="0">
            <a:solidFill>
              <a:schemeClr val="bg1">
                <a:lumMod val="50000"/>
              </a:schemeClr>
            </a:solidFill>
            <a:latin typeface="Calibri" pitchFamily="34" charset="0"/>
            <a:ea typeface="+mn-ea"/>
            <a:cs typeface="+mn-cs"/>
          </a:endParaRPr>
        </a:p>
        <a:p>
          <a:pPr algn="r"/>
          <a:r>
            <a:rPr lang="fr-FR" sz="1000" b="0">
              <a:solidFill>
                <a:schemeClr val="bg1">
                  <a:lumMod val="50000"/>
                </a:schemeClr>
              </a:solidFill>
              <a:latin typeface="Calibri" pitchFamily="34" charset="0"/>
              <a:ea typeface="+mn-ea"/>
              <a:cs typeface="+mn-cs"/>
            </a:rPr>
            <a:t>Parmi les femmes promouvables, </a:t>
          </a:r>
          <a:r>
            <a:rPr lang="fr-FR" sz="1600" b="0">
              <a:solidFill>
                <a:srgbClr val="00B050"/>
              </a:solidFill>
              <a:latin typeface="Calibri" pitchFamily="34" charset="0"/>
              <a:ea typeface="+mn-ea"/>
              <a:cs typeface="+mn-cs"/>
            </a:rPr>
            <a:t>31</a:t>
          </a:r>
          <a:r>
            <a:rPr lang="fr-FR" sz="1600" b="0">
              <a:solidFill>
                <a:schemeClr val="bg1">
                  <a:lumMod val="50000"/>
                </a:schemeClr>
              </a:solidFill>
              <a:latin typeface="Calibri" pitchFamily="34" charset="0"/>
              <a:ea typeface="+mn-ea"/>
              <a:cs typeface="+mn-cs"/>
            </a:rPr>
            <a:t>%</a:t>
          </a:r>
          <a:r>
            <a:rPr lang="fr-FR" sz="1000" b="0">
              <a:solidFill>
                <a:schemeClr val="bg1">
                  <a:lumMod val="50000"/>
                </a:schemeClr>
              </a:solidFill>
              <a:latin typeface="Calibri" pitchFamily="34" charset="0"/>
              <a:ea typeface="+mn-ea"/>
              <a:cs typeface="+mn-cs"/>
            </a:rPr>
            <a:t> ont déposé un dossier. (42% en 2021)</a:t>
          </a:r>
        </a:p>
        <a:p>
          <a:pPr algn="r"/>
          <a:endParaRPr lang="fr-FR" sz="1100">
            <a:solidFill>
              <a:schemeClr val="bg1">
                <a:lumMod val="50000"/>
              </a:schemeClr>
            </a:solidFill>
          </a:endParaRPr>
        </a:p>
        <a:p>
          <a:pPr marL="0" marR="0" indent="0" algn="r" defTabSz="914400" eaLnBrk="1" fontAlgn="auto" latinLnBrk="0" hangingPunct="1">
            <a:lnSpc>
              <a:spcPct val="100000"/>
            </a:lnSpc>
            <a:spcBef>
              <a:spcPts val="0"/>
            </a:spcBef>
            <a:spcAft>
              <a:spcPts val="0"/>
            </a:spcAft>
            <a:buClrTx/>
            <a:buSzTx/>
            <a:buFontTx/>
            <a:buNone/>
            <a:tabLst/>
            <a:defRPr/>
          </a:pPr>
          <a:r>
            <a:rPr lang="fr-FR" sz="1600" b="0">
              <a:solidFill>
                <a:srgbClr val="00B050"/>
              </a:solidFill>
              <a:latin typeface="Calibri" pitchFamily="34" charset="0"/>
              <a:ea typeface="+mn-ea"/>
              <a:cs typeface="+mn-cs"/>
            </a:rPr>
            <a:t>63</a:t>
          </a:r>
          <a:r>
            <a:rPr lang="fr-FR" sz="1600" b="0">
              <a:solidFill>
                <a:schemeClr val="bg1">
                  <a:lumMod val="50000"/>
                </a:schemeClr>
              </a:solidFill>
              <a:latin typeface="Calibri" pitchFamily="34" charset="0"/>
              <a:ea typeface="+mn-ea"/>
              <a:cs typeface="+mn-cs"/>
            </a:rPr>
            <a:t>%</a:t>
          </a:r>
          <a:r>
            <a:rPr lang="fr-FR" sz="1000" b="0">
              <a:solidFill>
                <a:schemeClr val="bg1">
                  <a:lumMod val="50000"/>
                </a:schemeClr>
              </a:solidFill>
              <a:latin typeface="Calibri" pitchFamily="34" charset="0"/>
              <a:ea typeface="+mn-ea"/>
              <a:cs typeface="+mn-cs"/>
            </a:rPr>
            <a:t> des femmes ayant déposé un dossier ont obtenu une promotion. (53% en 2021)</a:t>
          </a:r>
        </a:p>
        <a:p>
          <a:pPr marL="0" marR="0" indent="0" algn="r" defTabSz="914400" eaLnBrk="1" fontAlgn="auto" latinLnBrk="0" hangingPunct="1">
            <a:lnSpc>
              <a:spcPct val="100000"/>
            </a:lnSpc>
            <a:spcBef>
              <a:spcPts val="0"/>
            </a:spcBef>
            <a:spcAft>
              <a:spcPts val="0"/>
            </a:spcAft>
            <a:buClrTx/>
            <a:buSzTx/>
            <a:buFontTx/>
            <a:buNone/>
            <a:tabLst/>
            <a:defRPr/>
          </a:pPr>
          <a:endParaRPr lang="fr-FR" sz="10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600" b="0">
              <a:solidFill>
                <a:srgbClr val="00B050"/>
              </a:solidFill>
              <a:latin typeface="Calibri" pitchFamily="34" charset="0"/>
              <a:ea typeface="+mn-ea"/>
              <a:cs typeface="+mn-cs"/>
            </a:rPr>
            <a:t>43</a:t>
          </a:r>
          <a:r>
            <a:rPr lang="fr-FR" sz="1600" b="0">
              <a:solidFill>
                <a:schemeClr val="bg1">
                  <a:lumMod val="50000"/>
                </a:schemeClr>
              </a:solidFill>
              <a:latin typeface="Calibri" pitchFamily="34" charset="0"/>
              <a:ea typeface="+mn-ea"/>
              <a:cs typeface="+mn-cs"/>
            </a:rPr>
            <a:t>%</a:t>
          </a:r>
          <a:r>
            <a:rPr lang="fr-FR" sz="1000" b="0">
              <a:solidFill>
                <a:schemeClr val="bg1">
                  <a:lumMod val="50000"/>
                </a:schemeClr>
              </a:solidFill>
              <a:latin typeface="Calibri" pitchFamily="34" charset="0"/>
              <a:ea typeface="+mn-ea"/>
              <a:cs typeface="+mn-cs"/>
            </a:rPr>
            <a:t> des promus</a:t>
          </a:r>
        </a:p>
        <a:p>
          <a:pPr marL="0" marR="0" indent="0" algn="r" defTabSz="914400" eaLnBrk="1" fontAlgn="auto" latinLnBrk="0" hangingPunct="1">
            <a:lnSpc>
              <a:spcPct val="100000"/>
            </a:lnSpc>
            <a:spcBef>
              <a:spcPts val="0"/>
            </a:spcBef>
            <a:spcAft>
              <a:spcPts val="0"/>
            </a:spcAft>
            <a:buClrTx/>
            <a:buSzTx/>
            <a:buFontTx/>
            <a:buNone/>
            <a:tabLst/>
            <a:defRPr/>
          </a:pPr>
          <a:r>
            <a:rPr lang="fr-FR" sz="1000" b="0">
              <a:solidFill>
                <a:schemeClr val="bg1">
                  <a:lumMod val="50000"/>
                </a:schemeClr>
              </a:solidFill>
              <a:latin typeface="Calibri" pitchFamily="34" charset="0"/>
              <a:ea typeface="+mn-ea"/>
              <a:cs typeface="+mn-cs"/>
            </a:rPr>
            <a:t>sont</a:t>
          </a:r>
          <a:r>
            <a:rPr lang="fr-FR" sz="1000" b="0" baseline="0">
              <a:solidFill>
                <a:schemeClr val="bg1">
                  <a:lumMod val="50000"/>
                </a:schemeClr>
              </a:solidFill>
              <a:latin typeface="Calibri" pitchFamily="34" charset="0"/>
              <a:ea typeface="+mn-ea"/>
              <a:cs typeface="+mn-cs"/>
            </a:rPr>
            <a:t> des </a:t>
          </a:r>
          <a:r>
            <a:rPr lang="fr-FR" sz="1000" b="0">
              <a:solidFill>
                <a:schemeClr val="bg1">
                  <a:lumMod val="50000"/>
                </a:schemeClr>
              </a:solidFill>
              <a:latin typeface="Calibri" pitchFamily="34" charset="0"/>
              <a:ea typeface="+mn-ea"/>
              <a:cs typeface="+mn-cs"/>
            </a:rPr>
            <a:t> femmes (53%</a:t>
          </a:r>
          <a:r>
            <a:rPr lang="fr-FR" sz="1000" b="0" baseline="0">
              <a:solidFill>
                <a:schemeClr val="bg1">
                  <a:lumMod val="50000"/>
                </a:schemeClr>
              </a:solidFill>
              <a:latin typeface="Calibri" pitchFamily="34" charset="0"/>
              <a:ea typeface="+mn-ea"/>
              <a:cs typeface="+mn-cs"/>
            </a:rPr>
            <a:t> en 2021)</a:t>
          </a:r>
        </a:p>
        <a:p>
          <a:pPr marL="0" marR="0" indent="0" algn="r" defTabSz="914400" eaLnBrk="1" fontAlgn="auto" latinLnBrk="0" hangingPunct="1">
            <a:lnSpc>
              <a:spcPct val="100000"/>
            </a:lnSpc>
            <a:spcBef>
              <a:spcPts val="0"/>
            </a:spcBef>
            <a:spcAft>
              <a:spcPts val="0"/>
            </a:spcAft>
            <a:buClrTx/>
            <a:buSzTx/>
            <a:buFontTx/>
            <a:buNone/>
            <a:tabLst/>
            <a:defRPr/>
          </a:pPr>
          <a:endParaRPr lang="fr-FR" sz="1000" b="0" baseline="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000" b="0" baseline="0">
              <a:solidFill>
                <a:schemeClr val="bg1">
                  <a:lumMod val="50000"/>
                </a:schemeClr>
              </a:solidFill>
              <a:latin typeface="Calibri" pitchFamily="34" charset="0"/>
              <a:ea typeface="+mn-ea"/>
              <a:cs typeface="+mn-cs"/>
            </a:rPr>
            <a:t>Au niveau ministériel, les femmes représentent </a:t>
          </a:r>
          <a:r>
            <a:rPr lang="fr-FR" sz="1400" b="0" baseline="0">
              <a:solidFill>
                <a:schemeClr val="bg1">
                  <a:lumMod val="50000"/>
                </a:schemeClr>
              </a:solidFill>
              <a:latin typeface="Calibri" pitchFamily="34" charset="0"/>
              <a:ea typeface="+mn-ea"/>
              <a:cs typeface="+mn-cs"/>
            </a:rPr>
            <a:t>36 </a:t>
          </a:r>
          <a:r>
            <a:rPr lang="fr-FR" sz="1000" b="0" baseline="0">
              <a:solidFill>
                <a:schemeClr val="bg1">
                  <a:lumMod val="50000"/>
                </a:schemeClr>
              </a:solidFill>
              <a:latin typeface="Calibri" pitchFamily="34" charset="0"/>
              <a:ea typeface="+mn-ea"/>
              <a:cs typeface="+mn-cs"/>
            </a:rPr>
            <a:t>% des promouvables,</a:t>
          </a:r>
        </a:p>
        <a:p>
          <a:pPr marL="0" marR="0" indent="0" algn="r" defTabSz="914400" eaLnBrk="1" fontAlgn="auto" latinLnBrk="0" hangingPunct="1">
            <a:lnSpc>
              <a:spcPct val="100000"/>
            </a:lnSpc>
            <a:spcBef>
              <a:spcPts val="0"/>
            </a:spcBef>
            <a:spcAft>
              <a:spcPts val="0"/>
            </a:spcAft>
            <a:buClrTx/>
            <a:buSzTx/>
            <a:buFontTx/>
            <a:buNone/>
            <a:tabLst/>
            <a:defRPr/>
          </a:pPr>
          <a:r>
            <a:rPr lang="fr-FR" sz="1400" b="0" baseline="0">
              <a:solidFill>
                <a:schemeClr val="bg1">
                  <a:lumMod val="50000"/>
                </a:schemeClr>
              </a:solidFill>
              <a:latin typeface="Calibri" pitchFamily="34" charset="0"/>
              <a:ea typeface="+mn-ea"/>
              <a:cs typeface="+mn-cs"/>
            </a:rPr>
            <a:t>35 </a:t>
          </a:r>
          <a:r>
            <a:rPr lang="fr-FR" sz="1000" b="0" baseline="0">
              <a:solidFill>
                <a:schemeClr val="bg1">
                  <a:lumMod val="50000"/>
                </a:schemeClr>
              </a:solidFill>
              <a:latin typeface="Calibri" pitchFamily="34" charset="0"/>
              <a:ea typeface="+mn-ea"/>
              <a:cs typeface="+mn-cs"/>
            </a:rPr>
            <a:t>% des candidatures </a:t>
          </a:r>
        </a:p>
        <a:p>
          <a:pPr marL="0" marR="0" indent="0" algn="r" defTabSz="914400" eaLnBrk="1" fontAlgn="auto" latinLnBrk="0" hangingPunct="1">
            <a:lnSpc>
              <a:spcPct val="100000"/>
            </a:lnSpc>
            <a:spcBef>
              <a:spcPts val="0"/>
            </a:spcBef>
            <a:spcAft>
              <a:spcPts val="0"/>
            </a:spcAft>
            <a:buClrTx/>
            <a:buSzTx/>
            <a:buFontTx/>
            <a:buNone/>
            <a:tabLst/>
            <a:defRPr/>
          </a:pPr>
          <a:r>
            <a:rPr lang="fr-FR" sz="1000" b="0" baseline="0">
              <a:solidFill>
                <a:schemeClr val="bg1">
                  <a:lumMod val="50000"/>
                </a:schemeClr>
              </a:solidFill>
              <a:latin typeface="Calibri" pitchFamily="34" charset="0"/>
              <a:ea typeface="+mn-ea"/>
              <a:cs typeface="+mn-cs"/>
            </a:rPr>
            <a:t>et </a:t>
          </a:r>
          <a:r>
            <a:rPr lang="fr-FR" sz="1400" b="0" baseline="0">
              <a:solidFill>
                <a:schemeClr val="bg1">
                  <a:lumMod val="50000"/>
                </a:schemeClr>
              </a:solidFill>
              <a:latin typeface="Calibri" pitchFamily="34" charset="0"/>
              <a:ea typeface="+mn-ea"/>
              <a:cs typeface="+mn-cs"/>
            </a:rPr>
            <a:t>40</a:t>
          </a:r>
          <a:r>
            <a:rPr lang="fr-FR" sz="1000" b="0" baseline="0">
              <a:solidFill>
                <a:schemeClr val="bg1">
                  <a:lumMod val="50000"/>
                </a:schemeClr>
              </a:solidFill>
              <a:latin typeface="Calibri" pitchFamily="34" charset="0"/>
              <a:ea typeface="+mn-ea"/>
              <a:cs typeface="+mn-cs"/>
            </a:rPr>
            <a:t> % des promus.</a:t>
          </a:r>
        </a:p>
        <a:p>
          <a:pPr marL="0" marR="0" indent="0" algn="r" defTabSz="914400" eaLnBrk="1" fontAlgn="auto" latinLnBrk="0" hangingPunct="1">
            <a:lnSpc>
              <a:spcPct val="100000"/>
            </a:lnSpc>
            <a:spcBef>
              <a:spcPts val="0"/>
            </a:spcBef>
            <a:spcAft>
              <a:spcPts val="0"/>
            </a:spcAft>
            <a:buClrTx/>
            <a:buSzTx/>
            <a:buFontTx/>
            <a:buNone/>
            <a:tabLst/>
            <a:defRPr/>
          </a:pPr>
          <a:endParaRPr lang="fr-FR" sz="1000" b="0" baseline="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400" b="0" baseline="0">
              <a:solidFill>
                <a:schemeClr val="bg1">
                  <a:lumMod val="50000"/>
                </a:schemeClr>
              </a:solidFill>
              <a:latin typeface="Calibri" pitchFamily="34" charset="0"/>
              <a:ea typeface="+mn-ea"/>
              <a:cs typeface="+mn-cs"/>
            </a:rPr>
            <a:t>47</a:t>
          </a:r>
          <a:r>
            <a:rPr lang="fr-FR" sz="1000" b="0" baseline="0">
              <a:solidFill>
                <a:schemeClr val="bg1">
                  <a:lumMod val="50000"/>
                </a:schemeClr>
              </a:solidFill>
              <a:latin typeface="Calibri" pitchFamily="34" charset="0"/>
              <a:ea typeface="+mn-ea"/>
              <a:cs typeface="+mn-cs"/>
            </a:rPr>
            <a:t>% des femmes ayant déposé un dossier ont été promue.</a:t>
          </a:r>
        </a:p>
        <a:p>
          <a:pPr marL="0" marR="0" indent="0" algn="r" defTabSz="914400" eaLnBrk="1" fontAlgn="auto" latinLnBrk="0" hangingPunct="1">
            <a:lnSpc>
              <a:spcPct val="100000"/>
            </a:lnSpc>
            <a:spcBef>
              <a:spcPts val="0"/>
            </a:spcBef>
            <a:spcAft>
              <a:spcPts val="0"/>
            </a:spcAft>
            <a:buClrTx/>
            <a:buSzTx/>
            <a:buFontTx/>
            <a:buNone/>
            <a:tabLst/>
            <a:defRPr/>
          </a:pPr>
          <a:endParaRPr lang="fr-FR" sz="1000" b="0" baseline="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900" b="0" i="1" baseline="0">
              <a:solidFill>
                <a:schemeClr val="bg1">
                  <a:lumMod val="50000"/>
                </a:schemeClr>
              </a:solidFill>
              <a:latin typeface="Calibri" pitchFamily="34" charset="0"/>
              <a:ea typeface="+mn-ea"/>
              <a:cs typeface="+mn-cs"/>
            </a:rPr>
            <a:t>(Source : Bilan Social 2019-2020)</a:t>
          </a:r>
          <a:endParaRPr lang="fr-FR" sz="1000" b="0" i="1" baseline="0">
            <a:solidFill>
              <a:schemeClr val="bg1">
                <a:lumMod val="50000"/>
              </a:schemeClr>
            </a:solidFill>
            <a:latin typeface="Calibri" pitchFamily="34" charset="0"/>
            <a:ea typeface="+mn-ea"/>
            <a:cs typeface="+mn-cs"/>
          </a:endParaRPr>
        </a:p>
      </xdr:txBody>
    </xdr:sp>
    <xdr:clientData/>
  </xdr:twoCellAnchor>
  <xdr:twoCellAnchor>
    <xdr:from>
      <xdr:col>16</xdr:col>
      <xdr:colOff>120016</xdr:colOff>
      <xdr:row>15</xdr:row>
      <xdr:rowOff>19368</xdr:rowOff>
    </xdr:from>
    <xdr:to>
      <xdr:col>34</xdr:col>
      <xdr:colOff>344806</xdr:colOff>
      <xdr:row>19</xdr:row>
      <xdr:rowOff>89853</xdr:rowOff>
    </xdr:to>
    <xdr:sp macro="" textlink="">
      <xdr:nvSpPr>
        <xdr:cNvPr id="9" name="ZoneTexte 8">
          <a:extLst>
            <a:ext uri="{FF2B5EF4-FFF2-40B4-BE49-F238E27FC236}">
              <a16:creationId xmlns:a16="http://schemas.microsoft.com/office/drawing/2014/main" id="{00000000-0008-0000-0A00-000009000000}"/>
            </a:ext>
          </a:extLst>
        </xdr:cNvPr>
        <xdr:cNvSpPr txBox="1"/>
      </xdr:nvSpPr>
      <xdr:spPr>
        <a:xfrm>
          <a:off x="3993516" y="2559368"/>
          <a:ext cx="4574540" cy="673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lgn="r"/>
          <a:r>
            <a:rPr lang="fr-FR" sz="1600" b="0">
              <a:solidFill>
                <a:srgbClr val="00B050"/>
              </a:solidFill>
              <a:latin typeface="Calibri" pitchFamily="34" charset="0"/>
              <a:ea typeface="+mn-ea"/>
              <a:cs typeface="+mn-cs"/>
            </a:rPr>
            <a:t>15</a:t>
          </a:r>
          <a:r>
            <a:rPr lang="fr-FR" sz="1600" b="0">
              <a:solidFill>
                <a:schemeClr val="bg1">
                  <a:lumMod val="50000"/>
                </a:schemeClr>
              </a:solidFill>
              <a:latin typeface="Calibri" pitchFamily="34" charset="0"/>
              <a:ea typeface="+mn-ea"/>
              <a:cs typeface="+mn-cs"/>
            </a:rPr>
            <a:t>% </a:t>
          </a:r>
          <a:r>
            <a:rPr lang="fr-FR" sz="1000" b="0">
              <a:solidFill>
                <a:schemeClr val="bg1">
                  <a:lumMod val="50000"/>
                </a:schemeClr>
              </a:solidFill>
              <a:latin typeface="Calibri" pitchFamily="34" charset="0"/>
              <a:ea typeface="+mn-ea"/>
              <a:cs typeface="+mn-cs"/>
            </a:rPr>
            <a:t>des</a:t>
          </a:r>
          <a:r>
            <a:rPr lang="fr-FR" sz="1600" b="0" baseline="0">
              <a:solidFill>
                <a:schemeClr val="bg1">
                  <a:lumMod val="50000"/>
                </a:schemeClr>
              </a:solidFill>
              <a:latin typeface="Calibri" pitchFamily="34" charset="0"/>
              <a:ea typeface="+mn-ea"/>
              <a:cs typeface="+mn-cs"/>
            </a:rPr>
            <a:t> </a:t>
          </a:r>
          <a:r>
            <a:rPr lang="fr-FR" sz="1000" b="0">
              <a:solidFill>
                <a:schemeClr val="bg1">
                  <a:lumMod val="50000"/>
                </a:schemeClr>
              </a:solidFill>
              <a:latin typeface="Calibri" pitchFamily="34" charset="0"/>
              <a:ea typeface="+mn-ea"/>
              <a:cs typeface="+mn-cs"/>
            </a:rPr>
            <a:t>promouvables ont été  promus en</a:t>
          </a:r>
          <a:r>
            <a:rPr lang="fr-FR" sz="1100" b="0" baseline="0">
              <a:solidFill>
                <a:schemeClr val="bg1">
                  <a:lumMod val="50000"/>
                </a:schemeClr>
              </a:solidFill>
              <a:latin typeface="Calibri" pitchFamily="34" charset="0"/>
              <a:ea typeface="+mn-ea"/>
              <a:cs typeface="+mn-cs"/>
            </a:rPr>
            <a:t> 2022 </a:t>
          </a:r>
          <a:r>
            <a:rPr lang="fr-FR" sz="1050" b="0" baseline="0">
              <a:solidFill>
                <a:schemeClr val="bg1">
                  <a:lumMod val="50000"/>
                </a:schemeClr>
              </a:solidFill>
              <a:latin typeface="Calibri" pitchFamily="34" charset="0"/>
              <a:ea typeface="+mn-ea"/>
              <a:cs typeface="+mn-cs"/>
            </a:rPr>
            <a:t>(16%  en 2021)</a:t>
          </a:r>
        </a:p>
        <a:p>
          <a:pPr marL="0" indent="0" algn="r"/>
          <a:r>
            <a:rPr lang="fr-FR" sz="1600" b="0">
              <a:solidFill>
                <a:srgbClr val="00B050"/>
              </a:solidFill>
              <a:latin typeface="Calibri" pitchFamily="34" charset="0"/>
              <a:ea typeface="+mn-ea"/>
              <a:cs typeface="+mn-cs"/>
            </a:rPr>
            <a:t>47</a:t>
          </a:r>
          <a:r>
            <a:rPr lang="fr-FR" sz="1600" b="0">
              <a:solidFill>
                <a:schemeClr val="bg1">
                  <a:lumMod val="50000"/>
                </a:schemeClr>
              </a:solidFill>
              <a:latin typeface="Calibri" pitchFamily="34" charset="0"/>
              <a:ea typeface="+mn-ea"/>
              <a:cs typeface="+mn-cs"/>
            </a:rPr>
            <a:t>%</a:t>
          </a:r>
          <a:r>
            <a:rPr lang="fr-FR" sz="1100" b="0" baseline="0">
              <a:solidFill>
                <a:schemeClr val="bg1">
                  <a:lumMod val="50000"/>
                </a:schemeClr>
              </a:solidFill>
              <a:latin typeface="Calibri" pitchFamily="34" charset="0"/>
              <a:ea typeface="+mn-ea"/>
              <a:cs typeface="+mn-cs"/>
            </a:rPr>
            <a:t> </a:t>
          </a:r>
          <a:r>
            <a:rPr lang="fr-FR" sz="1000" b="0">
              <a:solidFill>
                <a:schemeClr val="bg1">
                  <a:lumMod val="50000"/>
                </a:schemeClr>
              </a:solidFill>
              <a:latin typeface="Calibri" pitchFamily="34" charset="0"/>
              <a:ea typeface="+mn-ea"/>
              <a:cs typeface="+mn-cs"/>
            </a:rPr>
            <a:t>des enseignants ayant déposé un dossier ont été promus (43% en 2021)</a:t>
          </a:r>
        </a:p>
        <a:p>
          <a:endParaRPr lang="fr-FR" sz="1100">
            <a:solidFill>
              <a:schemeClr val="bg1">
                <a:lumMod val="50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436245</xdr:colOff>
      <xdr:row>5</xdr:row>
      <xdr:rowOff>213359</xdr:rowOff>
    </xdr:from>
    <xdr:to>
      <xdr:col>17</xdr:col>
      <xdr:colOff>561975</xdr:colOff>
      <xdr:row>10</xdr:row>
      <xdr:rowOff>266701</xdr:rowOff>
    </xdr:to>
    <xdr:sp macro="" textlink="">
      <xdr:nvSpPr>
        <xdr:cNvPr id="17" name="ZoneTexte 16">
          <a:extLst>
            <a:ext uri="{FF2B5EF4-FFF2-40B4-BE49-F238E27FC236}">
              <a16:creationId xmlns:a16="http://schemas.microsoft.com/office/drawing/2014/main" id="{00000000-0008-0000-0B00-000011000000}"/>
            </a:ext>
          </a:extLst>
        </xdr:cNvPr>
        <xdr:cNvSpPr txBox="1"/>
      </xdr:nvSpPr>
      <xdr:spPr>
        <a:xfrm>
          <a:off x="9351645" y="1032509"/>
          <a:ext cx="2106930" cy="12725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a:solidFill>
                <a:srgbClr val="00B050"/>
              </a:solidFill>
              <a:latin typeface="Calibri" panose="020F0502020204030204" pitchFamily="34" charset="0"/>
            </a:rPr>
            <a:t>235</a:t>
          </a:r>
          <a:r>
            <a:rPr lang="fr-FR" sz="1100" baseline="0">
              <a:solidFill>
                <a:schemeClr val="bg2">
                  <a:lumMod val="25000"/>
                </a:schemeClr>
              </a:solidFill>
              <a:latin typeface="Calibri" panose="020F0502020204030204" pitchFamily="34" charset="0"/>
            </a:rPr>
            <a:t> HDR</a:t>
          </a:r>
        </a:p>
        <a:p>
          <a:r>
            <a:rPr lang="fr-FR" sz="1100" baseline="0">
              <a:solidFill>
                <a:schemeClr val="bg2">
                  <a:lumMod val="25000"/>
                </a:schemeClr>
              </a:solidFill>
              <a:latin typeface="Calibri" panose="020F0502020204030204" pitchFamily="34" charset="0"/>
            </a:rPr>
            <a:t>dont </a:t>
          </a:r>
          <a:r>
            <a:rPr lang="fr-FR" sz="1600">
              <a:solidFill>
                <a:srgbClr val="00B050"/>
              </a:solidFill>
              <a:latin typeface="Calibri" panose="020F0502020204030204" pitchFamily="34" charset="0"/>
              <a:ea typeface="+mn-ea"/>
              <a:cs typeface="+mn-cs"/>
            </a:rPr>
            <a:t>28</a:t>
          </a:r>
          <a:r>
            <a:rPr lang="fr-FR" sz="1600">
              <a:solidFill>
                <a:schemeClr val="bg2">
                  <a:lumMod val="25000"/>
                </a:schemeClr>
              </a:solidFill>
              <a:latin typeface="Calibri" panose="020F0502020204030204" pitchFamily="34" charset="0"/>
              <a:ea typeface="+mn-ea"/>
              <a:cs typeface="+mn-cs"/>
            </a:rPr>
            <a:t>%</a:t>
          </a:r>
          <a:r>
            <a:rPr lang="fr-FR" sz="1100" baseline="0">
              <a:solidFill>
                <a:schemeClr val="bg2">
                  <a:lumMod val="25000"/>
                </a:schemeClr>
              </a:solidFill>
              <a:effectLst/>
              <a:latin typeface="+mn-lt"/>
              <a:ea typeface="+mn-ea"/>
              <a:cs typeface="+mn-cs"/>
            </a:rPr>
            <a:t> </a:t>
          </a:r>
          <a:r>
            <a:rPr lang="fr-FR" sz="1100" baseline="0">
              <a:solidFill>
                <a:schemeClr val="bg2">
                  <a:lumMod val="25000"/>
                </a:schemeClr>
              </a:solidFill>
              <a:latin typeface="Calibri" panose="020F0502020204030204" pitchFamily="34" charset="0"/>
              <a:ea typeface="+mn-ea"/>
              <a:cs typeface="+mn-cs"/>
            </a:rPr>
            <a:t>de femmes </a:t>
          </a:r>
        </a:p>
        <a:p>
          <a:r>
            <a:rPr lang="fr-FR" sz="1100" baseline="0">
              <a:solidFill>
                <a:schemeClr val="bg2">
                  <a:lumMod val="25000"/>
                </a:schemeClr>
              </a:solidFill>
              <a:latin typeface="Calibri" panose="020F0502020204030204" pitchFamily="34" charset="0"/>
            </a:rPr>
            <a:t>dont </a:t>
          </a:r>
          <a:r>
            <a:rPr lang="fr-FR" sz="1600" baseline="0">
              <a:solidFill>
                <a:srgbClr val="00B050"/>
              </a:solidFill>
              <a:latin typeface="Calibri" panose="020F0502020204030204" pitchFamily="34" charset="0"/>
              <a:ea typeface="+mn-ea"/>
              <a:cs typeface="+mn-cs"/>
            </a:rPr>
            <a:t>56</a:t>
          </a:r>
          <a:r>
            <a:rPr lang="fr-FR" sz="1100" baseline="0">
              <a:solidFill>
                <a:schemeClr val="bg2">
                  <a:lumMod val="25000"/>
                </a:schemeClr>
              </a:solidFill>
              <a:latin typeface="Calibri" panose="020F0502020204030204" pitchFamily="34" charset="0"/>
            </a:rPr>
            <a:t> détenues par des MCF</a:t>
          </a:r>
        </a:p>
        <a:p>
          <a:r>
            <a:rPr lang="fr-FR" sz="1400" baseline="0">
              <a:solidFill>
                <a:srgbClr val="00B050"/>
              </a:solidFill>
              <a:latin typeface="Calibri" panose="020F0502020204030204" pitchFamily="34" charset="0"/>
            </a:rPr>
            <a:t>1</a:t>
          </a:r>
          <a:r>
            <a:rPr lang="fr-FR" sz="1100" baseline="0">
              <a:solidFill>
                <a:schemeClr val="bg2">
                  <a:lumMod val="25000"/>
                </a:schemeClr>
              </a:solidFill>
              <a:latin typeface="Calibri" panose="020F0502020204030204" pitchFamily="34" charset="0"/>
            </a:rPr>
            <a:t> par </a:t>
          </a:r>
          <a:r>
            <a:rPr lang="fr-FR" sz="1100" baseline="0">
              <a:solidFill>
                <a:schemeClr val="bg2">
                  <a:lumMod val="25000"/>
                </a:schemeClr>
              </a:solidFill>
              <a:latin typeface="Calibri" panose="020F0502020204030204" pitchFamily="34" charset="0"/>
              <a:ea typeface="+mn-ea"/>
              <a:cs typeface="+mn-cs"/>
            </a:rPr>
            <a:t>Agrégé</a:t>
          </a:r>
        </a:p>
        <a:p>
          <a:r>
            <a:rPr lang="fr-FR" sz="1400" baseline="0">
              <a:solidFill>
                <a:srgbClr val="00B050"/>
              </a:solidFill>
              <a:latin typeface="Calibri" panose="020F0502020204030204" pitchFamily="34" charset="0"/>
              <a:ea typeface="+mn-ea"/>
              <a:cs typeface="+mn-cs"/>
            </a:rPr>
            <a:t>1</a:t>
          </a:r>
          <a:r>
            <a:rPr lang="fr-FR" sz="1100" baseline="0">
              <a:solidFill>
                <a:schemeClr val="bg2">
                  <a:lumMod val="25000"/>
                </a:schemeClr>
              </a:solidFill>
              <a:latin typeface="Calibri" panose="020F0502020204030204" pitchFamily="34" charset="0"/>
              <a:ea typeface="+mn-ea"/>
              <a:cs typeface="+mn-cs"/>
            </a:rPr>
            <a:t> par IGR</a:t>
          </a:r>
        </a:p>
      </xdr:txBody>
    </xdr:sp>
    <xdr:clientData/>
  </xdr:twoCellAnchor>
  <xdr:twoCellAnchor>
    <xdr:from>
      <xdr:col>6</xdr:col>
      <xdr:colOff>70484</xdr:colOff>
      <xdr:row>44</xdr:row>
      <xdr:rowOff>70485</xdr:rowOff>
    </xdr:from>
    <xdr:to>
      <xdr:col>8</xdr:col>
      <xdr:colOff>449580</xdr:colOff>
      <xdr:row>49</xdr:row>
      <xdr:rowOff>0</xdr:rowOff>
    </xdr:to>
    <xdr:sp macro="" textlink="">
      <xdr:nvSpPr>
        <xdr:cNvPr id="2" name="ZoneTexte 1">
          <a:extLst>
            <a:ext uri="{FF2B5EF4-FFF2-40B4-BE49-F238E27FC236}">
              <a16:creationId xmlns:a16="http://schemas.microsoft.com/office/drawing/2014/main" id="{80C0FF76-C476-432C-9B6E-405403D2658F}"/>
            </a:ext>
          </a:extLst>
        </xdr:cNvPr>
        <xdr:cNvSpPr txBox="1"/>
      </xdr:nvSpPr>
      <xdr:spPr>
        <a:xfrm>
          <a:off x="3560444" y="8924925"/>
          <a:ext cx="1697356" cy="645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fr-FR" sz="1000">
            <a:solidFill>
              <a:schemeClr val="bg1">
                <a:lumMod val="50000"/>
              </a:schemeClr>
            </a:solidFill>
            <a:latin typeface="Calibri" panose="020F0502020204030204" pitchFamily="34" charset="0"/>
            <a:cs typeface="Calibri" panose="020F0502020204030204" pitchFamily="34" charset="0"/>
          </a:endParaRPr>
        </a:p>
      </xdr:txBody>
    </xdr:sp>
    <xdr:clientData/>
  </xdr:twoCellAnchor>
  <xdr:twoCellAnchor>
    <xdr:from>
      <xdr:col>14</xdr:col>
      <xdr:colOff>361950</xdr:colOff>
      <xdr:row>14</xdr:row>
      <xdr:rowOff>200024</xdr:rowOff>
    </xdr:from>
    <xdr:to>
      <xdr:col>17</xdr:col>
      <xdr:colOff>609600</xdr:colOff>
      <xdr:row>21</xdr:row>
      <xdr:rowOff>190499</xdr:rowOff>
    </xdr:to>
    <xdr:sp macro="" textlink="">
      <xdr:nvSpPr>
        <xdr:cNvPr id="4" name="ZoneTexte 3">
          <a:extLst>
            <a:ext uri="{FF2B5EF4-FFF2-40B4-BE49-F238E27FC236}">
              <a16:creationId xmlns:a16="http://schemas.microsoft.com/office/drawing/2014/main" id="{F9664370-2F4B-4958-8499-46A76AB4B44A}"/>
            </a:ext>
          </a:extLst>
        </xdr:cNvPr>
        <xdr:cNvSpPr txBox="1"/>
      </xdr:nvSpPr>
      <xdr:spPr>
        <a:xfrm>
          <a:off x="9277350" y="3057524"/>
          <a:ext cx="2228850"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6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243</a:t>
          </a:r>
          <a:r>
            <a:rPr kumimoji="0" lang="fr-FR" sz="11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 HDR</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dont </a:t>
          </a:r>
          <a:r>
            <a:rPr kumimoji="0" lang="fr-FR" sz="16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25%</a:t>
          </a:r>
          <a:r>
            <a:rPr kumimoji="0" lang="fr-FR" sz="1100" b="0" i="0" u="none" strike="noStrike" kern="0" cap="none" spc="0" normalizeH="0" baseline="0" noProof="0">
              <a:ln>
                <a:noFill/>
              </a:ln>
              <a:solidFill>
                <a:schemeClr val="bg1">
                  <a:lumMod val="50000"/>
                </a:schemeClr>
              </a:solidFill>
              <a:effectLst/>
              <a:uLnTx/>
              <a:uFillTx/>
              <a:latin typeface="+mn-lt"/>
              <a:ea typeface="+mn-ea"/>
              <a:cs typeface="+mn-cs"/>
            </a:rPr>
            <a:t> </a:t>
          </a:r>
          <a:r>
            <a:rPr kumimoji="0" lang="fr-FR" sz="11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de femmes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dont </a:t>
          </a:r>
          <a:r>
            <a:rPr kumimoji="0" lang="fr-FR" sz="16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61</a:t>
          </a:r>
          <a:r>
            <a:rPr kumimoji="0" lang="fr-FR" sz="11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 détenues par des MCF</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1</a:t>
          </a:r>
          <a:r>
            <a:rPr kumimoji="0" lang="fr-FR" sz="11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 par Agrégé</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1</a:t>
          </a:r>
          <a:r>
            <a:rPr kumimoji="0" lang="fr-FR" sz="11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 par IGR</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1</a:t>
          </a:r>
          <a:r>
            <a:rPr kumimoji="0" lang="fr-FR" sz="1100" b="0" i="0" u="none" strike="noStrike" kern="0" cap="none" spc="0" normalizeH="0" baseline="0" noProof="0">
              <a:ln>
                <a:noFill/>
              </a:ln>
              <a:solidFill>
                <a:schemeClr val="bg1">
                  <a:lumMod val="50000"/>
                </a:schemeClr>
              </a:solidFill>
              <a:effectLst/>
              <a:uLnTx/>
              <a:uFillTx/>
              <a:latin typeface="Calibri" panose="020F0502020204030204" pitchFamily="34" charset="0"/>
              <a:ea typeface="+mn-ea"/>
              <a:cs typeface="+mn-cs"/>
            </a:rPr>
            <a:t> par PHU</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chemeClr val="bg2">
                <a:lumMod val="50000"/>
              </a:schemeClr>
            </a:solidFill>
            <a:effectLst/>
            <a:uLnTx/>
            <a:uFillTx/>
            <a:latin typeface="Calibri" panose="020F0502020204030204" pitchFamily="34" charset="0"/>
            <a:ea typeface="+mn-ea"/>
            <a:cs typeface="+mn-cs"/>
          </a:endParaRPr>
        </a:p>
      </xdr:txBody>
    </xdr:sp>
    <xdr:clientData/>
  </xdr:twoCellAnchor>
  <xdr:twoCellAnchor>
    <xdr:from>
      <xdr:col>14</xdr:col>
      <xdr:colOff>400050</xdr:colOff>
      <xdr:row>26</xdr:row>
      <xdr:rowOff>114300</xdr:rowOff>
    </xdr:from>
    <xdr:to>
      <xdr:col>18</xdr:col>
      <xdr:colOff>80010</xdr:colOff>
      <xdr:row>32</xdr:row>
      <xdr:rowOff>76200</xdr:rowOff>
    </xdr:to>
    <xdr:sp macro="" textlink="">
      <xdr:nvSpPr>
        <xdr:cNvPr id="5" name="ZoneTexte 4">
          <a:extLst>
            <a:ext uri="{FF2B5EF4-FFF2-40B4-BE49-F238E27FC236}">
              <a16:creationId xmlns:a16="http://schemas.microsoft.com/office/drawing/2014/main" id="{1DB78C9A-0120-46E8-A0A1-002038A32916}"/>
            </a:ext>
          </a:extLst>
        </xdr:cNvPr>
        <xdr:cNvSpPr txBox="1"/>
      </xdr:nvSpPr>
      <xdr:spPr>
        <a:xfrm>
          <a:off x="9315450" y="5581650"/>
          <a:ext cx="234696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6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243</a:t>
          </a:r>
          <a:r>
            <a:rPr kumimoji="0" lang="fr-FR" sz="11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 HDR</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dont </a:t>
          </a:r>
          <a:r>
            <a:rPr kumimoji="0" lang="fr-FR" sz="16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25%</a:t>
          </a:r>
          <a:r>
            <a:rPr kumimoji="0" lang="fr-FR" sz="1100" b="0" i="0" u="none" strike="noStrike" kern="0" cap="none" spc="0" normalizeH="0" baseline="0" noProof="0">
              <a:ln>
                <a:noFill/>
              </a:ln>
              <a:solidFill>
                <a:srgbClr val="DEDEDE">
                  <a:lumMod val="50000"/>
                </a:srgbClr>
              </a:solidFill>
              <a:effectLst/>
              <a:uLnTx/>
              <a:uFillTx/>
              <a:latin typeface="+mn-lt"/>
              <a:ea typeface="+mn-ea"/>
              <a:cs typeface="+mn-cs"/>
            </a:rPr>
            <a:t> </a:t>
          </a:r>
          <a:r>
            <a:rPr kumimoji="0" lang="fr-FR" sz="11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de femmes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dont </a:t>
          </a:r>
          <a:r>
            <a:rPr kumimoji="0" lang="fr-FR" sz="16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61</a:t>
          </a:r>
          <a:r>
            <a:rPr kumimoji="0" lang="fr-FR" sz="11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 détenues par des MCF</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1</a:t>
          </a:r>
          <a:r>
            <a:rPr kumimoji="0" lang="fr-FR" sz="11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 par Agrégé</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1</a:t>
          </a:r>
          <a:r>
            <a:rPr kumimoji="0" lang="fr-FR" sz="1100" b="0" i="0" u="none" strike="noStrike" kern="0" cap="none" spc="0" normalizeH="0" baseline="0" noProof="0">
              <a:ln>
                <a:noFill/>
              </a:ln>
              <a:solidFill>
                <a:srgbClr val="DEDEDE">
                  <a:lumMod val="50000"/>
                </a:srgbClr>
              </a:solidFill>
              <a:effectLst/>
              <a:uLnTx/>
              <a:uFillTx/>
              <a:latin typeface="Calibri" panose="020F0502020204030204" pitchFamily="34" charset="0"/>
              <a:ea typeface="+mn-ea"/>
              <a:cs typeface="+mn-cs"/>
            </a:rPr>
            <a:t> par IGR</a:t>
          </a:r>
        </a:p>
      </xdr:txBody>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Urbain">
  <a:themeElements>
    <a:clrScheme name="Urbain">
      <a:dk1>
        <a:sysClr val="windowText" lastClr="000000"/>
      </a:dk1>
      <a:lt1>
        <a:sysClr val="window" lastClr="FFFFFF"/>
      </a:lt1>
      <a:dk2>
        <a:srgbClr val="424456"/>
      </a:dk2>
      <a:lt2>
        <a:srgbClr val="DEDEDE"/>
      </a:lt2>
      <a:accent1>
        <a:srgbClr val="53548A"/>
      </a:accent1>
      <a:accent2>
        <a:srgbClr val="438086"/>
      </a:accent2>
      <a:accent3>
        <a:srgbClr val="A04DA3"/>
      </a:accent3>
      <a:accent4>
        <a:srgbClr val="C4652D"/>
      </a:accent4>
      <a:accent5>
        <a:srgbClr val="8B5D3D"/>
      </a:accent5>
      <a:accent6>
        <a:srgbClr val="5C92B5"/>
      </a:accent6>
      <a:hlink>
        <a:srgbClr val="67AFBD"/>
      </a:hlink>
      <a:folHlink>
        <a:srgbClr val="C2A874"/>
      </a:folHlink>
    </a:clrScheme>
    <a:fontScheme name="Urbain">
      <a:majorFont>
        <a:latin typeface="Trebuchet MS"/>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eorgia"/>
        <a:ea typeface=""/>
        <a:cs typeface=""/>
        <a:font script="Jpan" typeface="HG明朝B"/>
        <a:font script="Hang" typeface="맑은 고딕"/>
        <a:font script="Hans" typeface="宋体"/>
        <a:font script="Hant" typeface="新細明體"/>
        <a:font script="Arab" typeface="Arial"/>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Urbain">
      <a:fillStyleLst>
        <a:solidFill>
          <a:schemeClr val="phClr"/>
        </a:solidFill>
        <a:gradFill rotWithShape="1">
          <a:gsLst>
            <a:gs pos="0">
              <a:schemeClr val="phClr">
                <a:tint val="1000"/>
                <a:satMod val="255000"/>
              </a:schemeClr>
            </a:gs>
            <a:gs pos="55000">
              <a:schemeClr val="phClr">
                <a:tint val="12000"/>
                <a:satMod val="255000"/>
              </a:schemeClr>
            </a:gs>
            <a:gs pos="100000">
              <a:schemeClr val="phClr">
                <a:tint val="45000"/>
                <a:satMod val="250000"/>
              </a:schemeClr>
            </a:gs>
          </a:gsLst>
          <a:path path="circle">
            <a:fillToRect l="-40000" t="-90000" r="140000" b="190000"/>
          </a:path>
        </a:gradFill>
        <a:gradFill rotWithShape="1">
          <a:gsLst>
            <a:gs pos="0">
              <a:schemeClr val="phClr">
                <a:tint val="43000"/>
                <a:satMod val="165000"/>
              </a:schemeClr>
            </a:gs>
            <a:gs pos="55000">
              <a:schemeClr val="phClr">
                <a:tint val="83000"/>
                <a:satMod val="155000"/>
              </a:schemeClr>
            </a:gs>
            <a:gs pos="100000">
              <a:schemeClr val="phClr">
                <a:shade val="85000"/>
              </a:schemeClr>
            </a:gs>
          </a:gsLst>
          <a:path path="circle">
            <a:fillToRect l="-40000" t="-90000" r="140000" b="190000"/>
          </a:path>
        </a:gradFill>
      </a:fillStyleLst>
      <a:lnStyleLst>
        <a:ln w="9525" cap="flat" cmpd="sng" algn="ctr">
          <a:solidFill>
            <a:schemeClr val="phClr"/>
          </a:solidFill>
          <a:prstDash val="solid"/>
        </a:ln>
        <a:ln w="19050" cap="flat" cmpd="sng" algn="ctr">
          <a:solidFill>
            <a:schemeClr val="phClr"/>
          </a:solidFill>
          <a:prstDash val="solid"/>
        </a:ln>
        <a:ln w="31750" cap="flat" cmpd="sng" algn="ctr">
          <a:solidFill>
            <a:schemeClr val="phClr"/>
          </a:solidFill>
          <a:prstDash val="solid"/>
        </a:ln>
      </a:lnStyleLst>
      <a:effectStyleLst>
        <a:effectStyle>
          <a:effectLst>
            <a:outerShdw blurRad="51500" dist="25400" dir="5400000" rotWithShape="0">
              <a:srgbClr val="000000">
                <a:alpha val="40000"/>
              </a:srgbClr>
            </a:outerShdw>
          </a:effectLst>
        </a:effectStyle>
        <a:effectStyle>
          <a:effectLst>
            <a:outerShdw blurRad="50800" dist="25400" dir="5400000" rotWithShape="0">
              <a:srgbClr val="000000">
                <a:alpha val="4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flat" dir="t">
              <a:rot lat="0" lon="0" rev="20040000"/>
            </a:lightRig>
          </a:scene3d>
          <a:sp3d contourW="12700" prstMaterial="dkEdge">
            <a:bevelT w="25400" h="38100" prst="convex"/>
            <a:contourClr>
              <a:schemeClr val="phClr">
                <a:satMod val="115000"/>
              </a:schemeClr>
            </a:contourClr>
          </a:sp3d>
        </a:effectStyle>
      </a:effectStyleLst>
      <a:bgFillStyleLst>
        <a:solidFill>
          <a:schemeClr val="phClr"/>
        </a:solidFill>
        <a:gradFill rotWithShape="1">
          <a:gsLst>
            <a:gs pos="100000">
              <a:schemeClr val="phClr">
                <a:tint val="80000"/>
                <a:satMod val="250000"/>
              </a:schemeClr>
            </a:gs>
            <a:gs pos="60000">
              <a:schemeClr val="phClr">
                <a:shade val="38000"/>
                <a:satMod val="175000"/>
              </a:schemeClr>
            </a:gs>
            <a:gs pos="0">
              <a:schemeClr val="phClr">
                <a:shade val="30000"/>
                <a:satMod val="175000"/>
              </a:schemeClr>
            </a:gs>
          </a:gsLst>
          <a:lin ang="5400000" scaled="0"/>
        </a:gradFill>
        <a:blipFill>
          <a:blip xmlns:r="http://schemas.openxmlformats.org/officeDocument/2006/relationships" r:embed="rId1">
            <a:duotone>
              <a:schemeClr val="phClr">
                <a:shade val="48000"/>
              </a:schemeClr>
              <a:schemeClr val="phClr">
                <a:tint val="96000"/>
                <a:satMod val="150000"/>
              </a:schemeClr>
            </a:duotone>
          </a:blip>
          <a:tile tx="0" ty="0" sx="80000" sy="8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showGridLines="0" zoomScaleNormal="100" workbookViewId="0">
      <selection activeCell="A3" sqref="A3:J32"/>
    </sheetView>
  </sheetViews>
  <sheetFormatPr baseColWidth="10" defaultColWidth="12" defaultRowHeight="11.25"/>
  <cols>
    <col min="1" max="1" width="12" style="276"/>
    <col min="2" max="2" width="5.1640625" style="276" customWidth="1"/>
    <col min="3" max="13" width="12" style="276"/>
    <col min="14" max="14" width="17.1640625" style="276" customWidth="1"/>
    <col min="15" max="15" width="3.6640625" style="276" customWidth="1"/>
    <col min="16" max="16384" width="12" style="276"/>
  </cols>
  <sheetData>
    <row r="1" spans="1:14" ht="19.5" thickBot="1">
      <c r="A1" s="464" t="s">
        <v>1146</v>
      </c>
      <c r="B1" s="275"/>
      <c r="C1" s="275"/>
      <c r="D1" s="275"/>
      <c r="E1" s="275"/>
      <c r="F1" s="275"/>
      <c r="G1" s="275"/>
      <c r="H1" s="275"/>
      <c r="I1" s="275"/>
      <c r="J1" s="275"/>
      <c r="K1" s="275"/>
      <c r="L1" s="275"/>
      <c r="M1" s="275"/>
      <c r="N1" s="275"/>
    </row>
    <row r="2" spans="1:14" ht="7.5" customHeight="1"/>
    <row r="3" spans="1:14" ht="18" customHeight="1">
      <c r="A3" s="277" t="s">
        <v>1147</v>
      </c>
    </row>
    <row r="4" spans="1:14" s="465" customFormat="1" ht="23.25" customHeight="1">
      <c r="B4" s="465" t="s">
        <v>204</v>
      </c>
      <c r="C4" s="465" t="s">
        <v>627</v>
      </c>
      <c r="D4" s="466"/>
      <c r="E4" s="466"/>
      <c r="F4" s="466"/>
      <c r="G4" s="466"/>
      <c r="H4" s="466"/>
      <c r="I4" s="466"/>
      <c r="J4" s="466"/>
      <c r="K4" s="466"/>
      <c r="L4" s="466"/>
      <c r="M4" s="466"/>
      <c r="N4" s="466"/>
    </row>
    <row r="5" spans="1:14" s="465" customFormat="1" ht="15">
      <c r="B5" s="465" t="s">
        <v>205</v>
      </c>
      <c r="C5" s="465" t="s">
        <v>628</v>
      </c>
    </row>
    <row r="6" spans="1:14" s="465" customFormat="1" ht="15">
      <c r="B6" s="465" t="s">
        <v>206</v>
      </c>
      <c r="C6" s="465" t="s">
        <v>703</v>
      </c>
    </row>
    <row r="7" spans="1:14" s="465" customFormat="1" ht="15">
      <c r="B7" s="465" t="s">
        <v>620</v>
      </c>
      <c r="C7" s="465" t="s">
        <v>588</v>
      </c>
    </row>
    <row r="8" spans="1:14" s="465" customFormat="1" ht="15">
      <c r="B8" s="465" t="s">
        <v>207</v>
      </c>
      <c r="C8" s="465" t="s">
        <v>419</v>
      </c>
    </row>
    <row r="9" spans="1:14" s="465" customFormat="1" ht="15">
      <c r="B9" s="465" t="s">
        <v>208</v>
      </c>
      <c r="C9" s="465" t="s">
        <v>629</v>
      </c>
    </row>
    <row r="10" spans="1:14" s="465" customFormat="1" ht="15">
      <c r="B10" s="465" t="s">
        <v>209</v>
      </c>
      <c r="C10" s="465" t="s">
        <v>1150</v>
      </c>
    </row>
    <row r="11" spans="1:14" ht="7.5" customHeight="1">
      <c r="C11" s="278"/>
    </row>
    <row r="12" spans="1:14" ht="18" customHeight="1">
      <c r="A12" s="277" t="s">
        <v>633</v>
      </c>
      <c r="B12" s="279"/>
    </row>
    <row r="13" spans="1:14" s="465" customFormat="1" ht="15">
      <c r="B13" s="465" t="s">
        <v>202</v>
      </c>
      <c r="C13" s="465" t="s">
        <v>281</v>
      </c>
    </row>
    <row r="14" spans="1:14" s="465" customFormat="1" ht="15">
      <c r="B14" s="465" t="s">
        <v>210</v>
      </c>
      <c r="C14" s="465" t="s">
        <v>630</v>
      </c>
    </row>
    <row r="15" spans="1:14" s="465" customFormat="1" ht="15">
      <c r="B15" s="465" t="s">
        <v>211</v>
      </c>
      <c r="C15" s="465" t="s">
        <v>283</v>
      </c>
    </row>
    <row r="16" spans="1:14" s="465" customFormat="1" ht="15">
      <c r="B16" s="465" t="s">
        <v>212</v>
      </c>
      <c r="C16" s="465" t="s">
        <v>590</v>
      </c>
    </row>
    <row r="17" spans="1:8" s="465" customFormat="1" ht="15">
      <c r="B17" s="465" t="s">
        <v>213</v>
      </c>
      <c r="C17" s="465" t="s">
        <v>631</v>
      </c>
    </row>
    <row r="18" spans="1:8" s="465" customFormat="1" ht="15">
      <c r="B18" s="465" t="s">
        <v>277</v>
      </c>
      <c r="C18" s="465" t="s">
        <v>632</v>
      </c>
    </row>
    <row r="19" spans="1:8" ht="7.5" customHeight="1">
      <c r="B19" s="277"/>
      <c r="C19" s="277"/>
    </row>
    <row r="20" spans="1:8" s="300" customFormat="1" ht="18" customHeight="1">
      <c r="A20" s="277" t="s">
        <v>315</v>
      </c>
    </row>
    <row r="21" spans="1:8" s="465" customFormat="1" ht="15">
      <c r="B21" s="465" t="s">
        <v>634</v>
      </c>
    </row>
    <row r="22" spans="1:8" s="465" customFormat="1" ht="15">
      <c r="B22" s="465" t="s">
        <v>635</v>
      </c>
      <c r="H22" s="465" t="s">
        <v>1149</v>
      </c>
    </row>
    <row r="23" spans="1:8" s="465" customFormat="1" ht="15">
      <c r="B23" s="465" t="s">
        <v>636</v>
      </c>
    </row>
    <row r="24" spans="1:8" s="465" customFormat="1" ht="15">
      <c r="B24" s="465" t="s">
        <v>534</v>
      </c>
      <c r="C24" s="465" t="s">
        <v>158</v>
      </c>
    </row>
    <row r="25" spans="1:8" s="465" customFormat="1" ht="15">
      <c r="B25" s="465" t="s">
        <v>535</v>
      </c>
      <c r="C25" s="465" t="s">
        <v>621</v>
      </c>
    </row>
    <row r="26" spans="1:8" ht="7.5" customHeight="1">
      <c r="C26" s="278"/>
    </row>
    <row r="27" spans="1:8" ht="18" customHeight="1">
      <c r="A27" s="277" t="s">
        <v>520</v>
      </c>
    </row>
    <row r="28" spans="1:8" s="465" customFormat="1" ht="15">
      <c r="B28" s="465" t="s">
        <v>516</v>
      </c>
      <c r="C28" s="465" t="s">
        <v>371</v>
      </c>
      <c r="D28" s="467"/>
    </row>
    <row r="29" spans="1:8" s="465" customFormat="1" ht="15">
      <c r="B29" s="465" t="s">
        <v>517</v>
      </c>
      <c r="C29" s="465" t="s">
        <v>372</v>
      </c>
      <c r="D29" s="467"/>
    </row>
    <row r="30" spans="1:8" s="465" customFormat="1" ht="15">
      <c r="B30" s="465" t="s">
        <v>518</v>
      </c>
      <c r="C30" s="465" t="s">
        <v>373</v>
      </c>
      <c r="D30" s="467"/>
    </row>
    <row r="31" spans="1:8" s="465" customFormat="1" ht="15">
      <c r="B31" s="465" t="s">
        <v>519</v>
      </c>
      <c r="C31" s="465" t="s">
        <v>603</v>
      </c>
      <c r="D31" s="467"/>
    </row>
    <row r="32" spans="1:8" s="465" customFormat="1" ht="15">
      <c r="B32" s="465" t="s">
        <v>607</v>
      </c>
      <c r="C32" s="465" t="s">
        <v>374</v>
      </c>
      <c r="D32" s="467"/>
    </row>
    <row r="33" spans="1:1" ht="7.5" customHeight="1"/>
    <row r="34" spans="1:1" ht="15.75">
      <c r="A34" s="277" t="s">
        <v>263</v>
      </c>
    </row>
    <row r="35" spans="1:1" ht="7.5" customHeight="1"/>
    <row r="36" spans="1:1" ht="15.75">
      <c r="A36" s="277"/>
    </row>
  </sheetData>
  <pageMargins left="0.11811023622047245" right="0.11811023622047245" top="0.35433070866141736"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O55"/>
  <sheetViews>
    <sheetView showGridLines="0" zoomScale="120" zoomScaleNormal="100" zoomScaleSheetLayoutView="100" workbookViewId="0">
      <selection activeCell="R22" sqref="R22"/>
    </sheetView>
  </sheetViews>
  <sheetFormatPr baseColWidth="10" defaultColWidth="12" defaultRowHeight="12"/>
  <cols>
    <col min="1" max="1" width="6.6640625" style="105" customWidth="1"/>
    <col min="2" max="2" width="1.1640625" style="105" customWidth="1"/>
    <col min="3" max="6" width="4.6640625" style="105" customWidth="1"/>
    <col min="7" max="7" width="1.6640625" style="105" customWidth="1"/>
    <col min="8" max="9" width="4.6640625" style="105" customWidth="1"/>
    <col min="10" max="11" width="6.1640625" style="105" customWidth="1"/>
    <col min="12" max="13" width="4.6640625" style="105" customWidth="1"/>
    <col min="14" max="14" width="1.6640625" style="105" customWidth="1"/>
    <col min="15" max="20" width="4.6640625" style="105" customWidth="1"/>
    <col min="21" max="21" width="1.6640625" style="105" customWidth="1"/>
    <col min="22" max="25" width="4.6640625" style="105" customWidth="1"/>
    <col min="26" max="26" width="1.6640625" style="105" customWidth="1"/>
    <col min="27" max="30" width="4.6640625" style="105" customWidth="1"/>
    <col min="31" max="31" width="1.33203125" style="105" customWidth="1"/>
    <col min="32" max="33" width="6.6640625" style="105" customWidth="1"/>
    <col min="34" max="34" width="1.33203125" style="105" customWidth="1"/>
    <col min="35" max="35" width="6.6640625" style="105" customWidth="1"/>
    <col min="36" max="36" width="1.33203125" style="105" customWidth="1"/>
    <col min="37" max="38" width="12" style="105"/>
    <col min="39" max="39" width="8" style="105" customWidth="1"/>
    <col min="40" max="40" width="8.6640625" style="105" customWidth="1"/>
    <col min="41" max="16384" width="12" style="105"/>
  </cols>
  <sheetData>
    <row r="1" spans="1:41" ht="18" customHeight="1">
      <c r="A1" s="230" t="s">
        <v>652</v>
      </c>
      <c r="B1" s="230"/>
      <c r="C1" s="132"/>
      <c r="D1" s="132"/>
      <c r="E1" s="132"/>
      <c r="F1" s="132"/>
      <c r="G1" s="132"/>
      <c r="H1" s="132"/>
      <c r="I1" s="132"/>
      <c r="J1" s="132"/>
      <c r="K1" s="132"/>
      <c r="L1" s="132"/>
      <c r="M1" s="132"/>
      <c r="N1" s="132"/>
      <c r="O1" s="132"/>
      <c r="P1" s="132"/>
      <c r="Q1" s="132"/>
      <c r="R1" s="132"/>
      <c r="S1" s="132"/>
      <c r="T1" s="132"/>
      <c r="U1" s="132"/>
      <c r="V1" s="132"/>
      <c r="W1" s="180"/>
      <c r="X1" s="181"/>
      <c r="Y1" s="181"/>
      <c r="Z1" s="181"/>
      <c r="AA1" s="181"/>
      <c r="AB1" s="181"/>
      <c r="AC1" s="181"/>
    </row>
    <row r="3" spans="1:41">
      <c r="A3" s="26" t="s">
        <v>1117</v>
      </c>
      <c r="B3" s="26"/>
      <c r="C3" s="26"/>
      <c r="D3" s="26"/>
      <c r="E3" s="26"/>
      <c r="F3" s="26"/>
      <c r="G3" s="26"/>
      <c r="H3" s="26"/>
    </row>
    <row r="4" spans="1:41" ht="6.75" customHeight="1"/>
    <row r="5" spans="1:41" ht="20.25" customHeight="1" thickBot="1">
      <c r="A5" s="308"/>
      <c r="B5" s="308"/>
      <c r="C5" s="1579" t="s">
        <v>93</v>
      </c>
      <c r="D5" s="1579"/>
      <c r="E5" s="1579"/>
      <c r="F5" s="1579"/>
      <c r="G5" s="309"/>
      <c r="H5" s="1579" t="s">
        <v>305</v>
      </c>
      <c r="I5" s="1579"/>
      <c r="J5" s="1579"/>
      <c r="K5" s="1579"/>
      <c r="L5" s="1579"/>
      <c r="M5" s="1579"/>
      <c r="N5" s="310"/>
      <c r="O5" s="1579" t="s">
        <v>304</v>
      </c>
      <c r="P5" s="1579"/>
      <c r="Q5" s="1579"/>
      <c r="R5" s="1579"/>
      <c r="S5" s="1579"/>
      <c r="T5" s="1579"/>
      <c r="U5" s="310"/>
      <c r="V5" s="1579" t="s">
        <v>303</v>
      </c>
      <c r="W5" s="1579"/>
      <c r="X5" s="1579"/>
      <c r="Y5" s="1579"/>
      <c r="Z5" s="309"/>
      <c r="AA5" s="1579" t="s">
        <v>755</v>
      </c>
      <c r="AB5" s="1579"/>
      <c r="AC5" s="1579"/>
      <c r="AD5" s="1579"/>
      <c r="AE5" s="311"/>
    </row>
    <row r="6" spans="1:41" ht="12" customHeight="1" thickBot="1">
      <c r="A6" s="615"/>
      <c r="B6" s="615"/>
      <c r="C6" s="369"/>
      <c r="D6" s="369"/>
      <c r="E6" s="369"/>
      <c r="F6" s="369"/>
      <c r="G6" s="616"/>
      <c r="H6" s="369"/>
      <c r="I6" s="369"/>
      <c r="J6" s="369"/>
      <c r="K6" s="369"/>
      <c r="L6" s="369"/>
      <c r="M6" s="369"/>
      <c r="N6" s="617"/>
      <c r="O6" s="369"/>
      <c r="P6" s="369"/>
      <c r="Q6" s="369"/>
      <c r="R6" s="369"/>
      <c r="S6" s="369"/>
      <c r="T6" s="369"/>
      <c r="U6" s="617"/>
      <c r="V6" s="369"/>
      <c r="W6" s="369"/>
      <c r="X6" s="369"/>
      <c r="Y6" s="369"/>
      <c r="Z6" s="618"/>
      <c r="AA6" s="369"/>
      <c r="AB6" s="369"/>
      <c r="AC6" s="369"/>
      <c r="AD6" s="369"/>
      <c r="AF6" s="1571" t="s">
        <v>554</v>
      </c>
      <c r="AG6" s="1573" t="s">
        <v>555</v>
      </c>
      <c r="AI6" s="1575" t="s">
        <v>342</v>
      </c>
      <c r="AK6" s="1575" t="s">
        <v>341</v>
      </c>
    </row>
    <row r="7" spans="1:41" ht="23.25" customHeight="1" thickBot="1">
      <c r="A7" s="615"/>
      <c r="B7" s="615"/>
      <c r="C7" s="1577" t="s">
        <v>70</v>
      </c>
      <c r="D7" s="1578"/>
      <c r="E7" s="1578" t="s">
        <v>71</v>
      </c>
      <c r="F7" s="1580"/>
      <c r="G7" s="618"/>
      <c r="H7" s="1585" t="s">
        <v>70</v>
      </c>
      <c r="I7" s="1583"/>
      <c r="J7" s="1583" t="s">
        <v>71</v>
      </c>
      <c r="K7" s="1583"/>
      <c r="L7" s="1583" t="s">
        <v>382</v>
      </c>
      <c r="M7" s="1584"/>
      <c r="N7" s="618"/>
      <c r="O7" s="1577" t="s">
        <v>70</v>
      </c>
      <c r="P7" s="1578"/>
      <c r="Q7" s="1578" t="s">
        <v>71</v>
      </c>
      <c r="R7" s="1578"/>
      <c r="S7" s="1583" t="s">
        <v>382</v>
      </c>
      <c r="T7" s="1584"/>
      <c r="U7" s="618"/>
      <c r="V7" s="1577" t="s">
        <v>70</v>
      </c>
      <c r="W7" s="1578"/>
      <c r="X7" s="1578" t="s">
        <v>71</v>
      </c>
      <c r="Y7" s="1580"/>
      <c r="Z7" s="619"/>
      <c r="AA7" s="1577" t="s">
        <v>70</v>
      </c>
      <c r="AB7" s="1578"/>
      <c r="AC7" s="1578" t="s">
        <v>71</v>
      </c>
      <c r="AD7" s="1580"/>
      <c r="AF7" s="1572"/>
      <c r="AG7" s="1574"/>
      <c r="AI7" s="1576"/>
      <c r="AK7" s="1576"/>
      <c r="AM7" s="1581" t="s">
        <v>759</v>
      </c>
      <c r="AN7" s="1581"/>
    </row>
    <row r="8" spans="1:41" s="107" customFormat="1">
      <c r="A8" s="615"/>
      <c r="B8" s="615"/>
      <c r="C8" s="742" t="s">
        <v>87</v>
      </c>
      <c r="D8" s="621" t="s">
        <v>130</v>
      </c>
      <c r="E8" s="621" t="s">
        <v>87</v>
      </c>
      <c r="F8" s="743" t="s">
        <v>130</v>
      </c>
      <c r="G8" s="620"/>
      <c r="H8" s="742" t="s">
        <v>87</v>
      </c>
      <c r="I8" s="621" t="s">
        <v>130</v>
      </c>
      <c r="J8" s="621" t="s">
        <v>87</v>
      </c>
      <c r="K8" s="621" t="s">
        <v>130</v>
      </c>
      <c r="L8" s="621" t="s">
        <v>87</v>
      </c>
      <c r="M8" s="743" t="s">
        <v>130</v>
      </c>
      <c r="N8" s="620"/>
      <c r="O8" s="742" t="s">
        <v>87</v>
      </c>
      <c r="P8" s="621" t="s">
        <v>130</v>
      </c>
      <c r="Q8" s="621" t="s">
        <v>87</v>
      </c>
      <c r="R8" s="621" t="s">
        <v>130</v>
      </c>
      <c r="S8" s="621" t="s">
        <v>87</v>
      </c>
      <c r="T8" s="743" t="s">
        <v>130</v>
      </c>
      <c r="U8" s="620"/>
      <c r="V8" s="742" t="s">
        <v>87</v>
      </c>
      <c r="W8" s="621" t="s">
        <v>130</v>
      </c>
      <c r="X8" s="621" t="s">
        <v>87</v>
      </c>
      <c r="Y8" s="743" t="s">
        <v>130</v>
      </c>
      <c r="Z8" s="620"/>
      <c r="AA8" s="742" t="s">
        <v>87</v>
      </c>
      <c r="AB8" s="621" t="s">
        <v>130</v>
      </c>
      <c r="AC8" s="621" t="s">
        <v>87</v>
      </c>
      <c r="AD8" s="743" t="s">
        <v>130</v>
      </c>
      <c r="AF8" s="1572"/>
      <c r="AG8" s="1574"/>
      <c r="AI8" s="1576"/>
      <c r="AK8" s="1576"/>
      <c r="AM8" s="1581"/>
      <c r="AN8" s="1581"/>
    </row>
    <row r="9" spans="1:41">
      <c r="A9" s="368">
        <v>2018</v>
      </c>
      <c r="B9" s="741"/>
      <c r="C9" s="744">
        <v>1</v>
      </c>
      <c r="D9" s="737"/>
      <c r="E9" s="737"/>
      <c r="F9" s="745">
        <v>3</v>
      </c>
      <c r="G9" s="809"/>
      <c r="H9" s="744">
        <v>1</v>
      </c>
      <c r="I9" s="737">
        <v>1</v>
      </c>
      <c r="J9" s="737">
        <v>1</v>
      </c>
      <c r="K9" s="737">
        <v>1</v>
      </c>
      <c r="L9" s="737"/>
      <c r="M9" s="745"/>
      <c r="N9" s="809"/>
      <c r="O9" s="744"/>
      <c r="P9" s="737">
        <v>2</v>
      </c>
      <c r="Q9" s="737"/>
      <c r="R9" s="737">
        <v>1</v>
      </c>
      <c r="S9" s="737"/>
      <c r="T9" s="745"/>
      <c r="U9" s="809"/>
      <c r="V9" s="744">
        <v>1</v>
      </c>
      <c r="W9" s="737">
        <v>3</v>
      </c>
      <c r="X9" s="737">
        <v>3</v>
      </c>
      <c r="Y9" s="745">
        <v>2</v>
      </c>
      <c r="Z9" s="809"/>
      <c r="AA9" s="744">
        <v>2</v>
      </c>
      <c r="AB9" s="737">
        <v>6</v>
      </c>
      <c r="AC9" s="737">
        <v>4</v>
      </c>
      <c r="AD9" s="745">
        <v>3</v>
      </c>
      <c r="AF9" s="736">
        <f t="shared" ref="AF9:AF12" si="0">SUM(C9,E9,H9,J9,L9,O9,Q9,S9,V9,X9,AA9,AC9)</f>
        <v>13</v>
      </c>
      <c r="AG9" s="738">
        <f t="shared" ref="AG9:AG12" si="1">SUM(D9,F9,I9,K9,M9,P9,R9,T9,W9,Y9,AB9,AD9)</f>
        <v>22</v>
      </c>
      <c r="AI9" s="739">
        <f t="shared" ref="AI9:AI12" si="2">SUM(AF9:AG9)</f>
        <v>35</v>
      </c>
      <c r="AK9" s="740">
        <f t="shared" ref="AK9:AK12" si="3">AF9/AI9</f>
        <v>0.37142857142857144</v>
      </c>
      <c r="AM9" s="105" t="s">
        <v>87</v>
      </c>
      <c r="AN9" s="105" t="s">
        <v>130</v>
      </c>
    </row>
    <row r="10" spans="1:41">
      <c r="A10" s="370">
        <v>2019</v>
      </c>
      <c r="B10" s="805"/>
      <c r="C10" s="806">
        <v>1</v>
      </c>
      <c r="D10" s="807">
        <v>2</v>
      </c>
      <c r="E10" s="807">
        <v>1</v>
      </c>
      <c r="F10" s="808">
        <v>2</v>
      </c>
      <c r="G10" s="809"/>
      <c r="H10" s="806"/>
      <c r="I10" s="807"/>
      <c r="J10" s="807"/>
      <c r="K10" s="807">
        <v>2</v>
      </c>
      <c r="L10" s="807"/>
      <c r="M10" s="808">
        <v>1</v>
      </c>
      <c r="N10" s="809"/>
      <c r="O10" s="806"/>
      <c r="P10" s="807"/>
      <c r="Q10" s="807">
        <v>1</v>
      </c>
      <c r="R10" s="807"/>
      <c r="S10" s="807"/>
      <c r="T10" s="808"/>
      <c r="U10" s="809"/>
      <c r="V10" s="806"/>
      <c r="W10" s="807">
        <v>4</v>
      </c>
      <c r="X10" s="807">
        <v>4</v>
      </c>
      <c r="Y10" s="808">
        <v>2</v>
      </c>
      <c r="Z10" s="809"/>
      <c r="AA10" s="806">
        <v>1</v>
      </c>
      <c r="AB10" s="807">
        <v>1</v>
      </c>
      <c r="AC10" s="807">
        <v>1</v>
      </c>
      <c r="AD10" s="808">
        <v>1</v>
      </c>
      <c r="AF10" s="810">
        <f t="shared" si="0"/>
        <v>9</v>
      </c>
      <c r="AG10" s="811">
        <f t="shared" si="1"/>
        <v>15</v>
      </c>
      <c r="AI10" s="812">
        <f t="shared" si="2"/>
        <v>24</v>
      </c>
      <c r="AK10" s="746">
        <f t="shared" si="3"/>
        <v>0.375</v>
      </c>
      <c r="AM10" s="1500">
        <f>43+18</f>
        <v>61</v>
      </c>
      <c r="AN10" s="1500">
        <f>54+69</f>
        <v>123</v>
      </c>
      <c r="AO10" s="912">
        <f>AM10/(AM10+AN10)</f>
        <v>0.33152173913043476</v>
      </c>
    </row>
    <row r="11" spans="1:41" ht="12" customHeight="1">
      <c r="A11" s="368">
        <v>2020</v>
      </c>
      <c r="B11" s="741"/>
      <c r="C11" s="744">
        <v>1</v>
      </c>
      <c r="D11" s="737">
        <v>1</v>
      </c>
      <c r="E11" s="737">
        <v>3</v>
      </c>
      <c r="F11" s="745"/>
      <c r="G11" s="809"/>
      <c r="H11" s="744"/>
      <c r="I11" s="737">
        <v>1</v>
      </c>
      <c r="J11" s="737">
        <v>1</v>
      </c>
      <c r="K11" s="737">
        <v>2</v>
      </c>
      <c r="L11" s="737"/>
      <c r="M11" s="745">
        <v>1</v>
      </c>
      <c r="N11" s="809"/>
      <c r="O11" s="744"/>
      <c r="P11" s="737"/>
      <c r="Q11" s="737"/>
      <c r="R11" s="737">
        <v>1</v>
      </c>
      <c r="S11" s="737"/>
      <c r="T11" s="745"/>
      <c r="U11" s="809"/>
      <c r="V11" s="744">
        <v>4</v>
      </c>
      <c r="W11" s="737">
        <v>3</v>
      </c>
      <c r="X11" s="737">
        <v>2</v>
      </c>
      <c r="Y11" s="745">
        <v>4</v>
      </c>
      <c r="Z11" s="809"/>
      <c r="AA11" s="744">
        <v>3</v>
      </c>
      <c r="AB11" s="737"/>
      <c r="AC11" s="737">
        <v>2</v>
      </c>
      <c r="AD11" s="745">
        <v>1</v>
      </c>
      <c r="AF11" s="736">
        <f t="shared" si="0"/>
        <v>16</v>
      </c>
      <c r="AG11" s="738">
        <f t="shared" si="1"/>
        <v>14</v>
      </c>
      <c r="AI11" s="739">
        <f t="shared" si="2"/>
        <v>30</v>
      </c>
      <c r="AK11" s="740">
        <f t="shared" si="3"/>
        <v>0.53333333333333333</v>
      </c>
      <c r="AM11" s="1582" t="s">
        <v>760</v>
      </c>
      <c r="AN11" s="1582"/>
    </row>
    <row r="12" spans="1:41" ht="12.75" customHeight="1">
      <c r="A12" s="370">
        <v>2021</v>
      </c>
      <c r="B12" s="805"/>
      <c r="C12" s="806">
        <v>1</v>
      </c>
      <c r="D12" s="807">
        <v>3</v>
      </c>
      <c r="E12" s="807">
        <v>1</v>
      </c>
      <c r="F12" s="808">
        <v>2</v>
      </c>
      <c r="G12" s="809"/>
      <c r="H12" s="806"/>
      <c r="I12" s="807">
        <v>1</v>
      </c>
      <c r="J12" s="807">
        <v>1</v>
      </c>
      <c r="K12" s="807">
        <v>1</v>
      </c>
      <c r="L12" s="807"/>
      <c r="M12" s="808"/>
      <c r="N12" s="809"/>
      <c r="O12" s="806"/>
      <c r="P12" s="807"/>
      <c r="Q12" s="807">
        <v>2</v>
      </c>
      <c r="R12" s="807"/>
      <c r="S12" s="807"/>
      <c r="T12" s="808"/>
      <c r="U12" s="809"/>
      <c r="V12" s="806">
        <v>3</v>
      </c>
      <c r="W12" s="807">
        <v>2</v>
      </c>
      <c r="X12" s="807">
        <v>4</v>
      </c>
      <c r="Y12" s="808">
        <v>3</v>
      </c>
      <c r="Z12" s="809"/>
      <c r="AA12" s="806">
        <v>2</v>
      </c>
      <c r="AB12" s="807">
        <v>3</v>
      </c>
      <c r="AC12" s="807">
        <v>1</v>
      </c>
      <c r="AD12" s="808"/>
      <c r="AF12" s="810">
        <f t="shared" si="0"/>
        <v>15</v>
      </c>
      <c r="AG12" s="811">
        <f t="shared" si="1"/>
        <v>15</v>
      </c>
      <c r="AI12" s="812">
        <f t="shared" si="2"/>
        <v>30</v>
      </c>
      <c r="AK12" s="746">
        <f t="shared" si="3"/>
        <v>0.5</v>
      </c>
      <c r="AM12" s="1582"/>
      <c r="AN12" s="1582"/>
    </row>
    <row r="13" spans="1:41" s="853" customFormat="1" ht="12.75" thickBot="1">
      <c r="A13" s="368">
        <v>2022</v>
      </c>
      <c r="B13" s="741"/>
      <c r="C13" s="1300">
        <v>1</v>
      </c>
      <c r="D13" s="1301">
        <v>1</v>
      </c>
      <c r="E13" s="1301">
        <v>1</v>
      </c>
      <c r="F13" s="1302">
        <v>2</v>
      </c>
      <c r="G13" s="1303"/>
      <c r="H13" s="1300"/>
      <c r="I13" s="1301">
        <v>2</v>
      </c>
      <c r="J13" s="1301">
        <v>1</v>
      </c>
      <c r="K13" s="1301">
        <v>1</v>
      </c>
      <c r="L13" s="1301"/>
      <c r="M13" s="1302"/>
      <c r="N13" s="1303"/>
      <c r="O13" s="1300"/>
      <c r="P13" s="1301">
        <v>1</v>
      </c>
      <c r="Q13" s="1301"/>
      <c r="R13" s="1301">
        <v>1</v>
      </c>
      <c r="S13" s="1301"/>
      <c r="T13" s="1302">
        <v>1</v>
      </c>
      <c r="U13" s="1303"/>
      <c r="V13" s="1300">
        <v>2</v>
      </c>
      <c r="W13" s="1301">
        <v>2</v>
      </c>
      <c r="X13" s="1301">
        <v>4</v>
      </c>
      <c r="Y13" s="1302">
        <v>4</v>
      </c>
      <c r="Z13" s="1303"/>
      <c r="AA13" s="1300">
        <v>1</v>
      </c>
      <c r="AB13" s="1301"/>
      <c r="AC13" s="1301">
        <v>2</v>
      </c>
      <c r="AD13" s="1302">
        <v>1</v>
      </c>
      <c r="AE13" s="1304"/>
      <c r="AF13" s="1305">
        <f>SUM(C13,E13,H13,J13,L13,O13,Q13,S13,V13,X13,AA13,AC13)</f>
        <v>12</v>
      </c>
      <c r="AG13" s="1306">
        <f>SUM(D13,F13,I13,K13,M13,P13,R13,T13,W13,Y13,AB13,AD13)</f>
        <v>16</v>
      </c>
      <c r="AH13" s="1304"/>
      <c r="AI13" s="1307">
        <f>SUM(AF13:AG13)</f>
        <v>28</v>
      </c>
      <c r="AJ13" s="1304"/>
      <c r="AK13" s="1308">
        <f>AF13/AI13</f>
        <v>0.42857142857142855</v>
      </c>
      <c r="AM13" s="853" t="s">
        <v>87</v>
      </c>
      <c r="AN13" s="853" t="s">
        <v>130</v>
      </c>
    </row>
    <row r="14" spans="1:41">
      <c r="AM14" s="105">
        <v>19</v>
      </c>
      <c r="AN14" s="105">
        <v>41</v>
      </c>
      <c r="AO14" s="912">
        <f>AM14/AM10</f>
        <v>0.31147540983606559</v>
      </c>
    </row>
    <row r="15" spans="1:41">
      <c r="A15" s="106"/>
      <c r="B15" s="106"/>
      <c r="C15" s="106"/>
      <c r="D15" s="106"/>
      <c r="E15" s="106"/>
      <c r="F15" s="106"/>
      <c r="G15" s="106"/>
      <c r="H15" s="108"/>
      <c r="I15" s="109"/>
      <c r="J15" s="109"/>
      <c r="K15" s="109"/>
      <c r="L15" s="109"/>
      <c r="M15" s="109"/>
      <c r="N15" s="109"/>
      <c r="O15" s="109"/>
      <c r="P15" s="109"/>
    </row>
    <row r="16" spans="1:41">
      <c r="A16" s="106"/>
      <c r="B16" s="106"/>
      <c r="C16" s="106"/>
      <c r="D16" s="106"/>
      <c r="E16" s="106"/>
      <c r="F16" s="106"/>
      <c r="G16" s="106"/>
      <c r="H16" s="622"/>
      <c r="I16" s="623"/>
      <c r="J16" s="105" t="s">
        <v>1130</v>
      </c>
      <c r="K16" s="1299" t="s">
        <v>1131</v>
      </c>
      <c r="L16" s="1299" t="s">
        <v>1144</v>
      </c>
      <c r="M16" s="1155"/>
      <c r="W16" s="105" t="s">
        <v>1130</v>
      </c>
      <c r="X16" s="105" t="s">
        <v>1131</v>
      </c>
      <c r="AM16" s="105" t="s">
        <v>761</v>
      </c>
    </row>
    <row r="17" spans="1:39">
      <c r="A17" s="106"/>
      <c r="B17" s="106"/>
      <c r="C17" s="908"/>
      <c r="D17" s="106"/>
      <c r="E17" s="106"/>
      <c r="F17" s="106"/>
      <c r="G17" s="106"/>
      <c r="H17" s="622"/>
      <c r="I17" s="1154" t="s">
        <v>72</v>
      </c>
      <c r="J17" s="1505">
        <f>SUM(E13:F13,J13:K13,Q13:R13,X13:Y13,AC13:AD13)/AI13</f>
        <v>0.6071428571428571</v>
      </c>
      <c r="K17" s="1506">
        <f>SUM(E12:F12,J12:K12,Q12:R12,X12:Y12,AC12:AD12)/AI12</f>
        <v>0.5</v>
      </c>
      <c r="L17" s="1508">
        <f>SUM(E11:F11,J11:K11,Q11:R11,X11:Y11,AC11:AD11,)/AI11</f>
        <v>0.53333333333333333</v>
      </c>
      <c r="M17" s="1155"/>
      <c r="V17" s="1018" t="s">
        <v>787</v>
      </c>
      <c r="W17" s="912">
        <f>AI13/(AM10+AN10)</f>
        <v>0.15217391304347827</v>
      </c>
      <c r="X17" s="113">
        <v>0.13</v>
      </c>
      <c r="AA17" s="563"/>
      <c r="AM17" s="912">
        <f>AF13/AM14</f>
        <v>0.63157894736842102</v>
      </c>
    </row>
    <row r="18" spans="1:39">
      <c r="A18" s="106"/>
      <c r="B18" s="106"/>
      <c r="C18" s="106"/>
      <c r="D18" s="106"/>
      <c r="E18" s="106"/>
      <c r="F18" s="106"/>
      <c r="G18" s="106"/>
      <c r="H18" s="622"/>
      <c r="I18" s="1154" t="s">
        <v>73</v>
      </c>
      <c r="J18" s="1507">
        <f>SUM(C13:D13,H13:I13,O13:P13,V13:W13,AA13:AB13)/AI13</f>
        <v>0.35714285714285715</v>
      </c>
      <c r="K18" s="1506">
        <f>SUM(C12:D12,H12:I12,O12:P12,V12:W12,AA12:AB12)/AI12</f>
        <v>0.5</v>
      </c>
      <c r="L18" s="1508">
        <f>SUM(C11:D11,H11:I11,O11:P11,V11:W11,AA11:AB11)/AI11</f>
        <v>0.43333333333333335</v>
      </c>
      <c r="M18" s="1155"/>
      <c r="O18" s="312"/>
      <c r="V18" s="1018" t="s">
        <v>788</v>
      </c>
      <c r="W18" s="912">
        <f>AI13/(AM14+AN14)</f>
        <v>0.46666666666666667</v>
      </c>
      <c r="X18" s="113">
        <v>0.41</v>
      </c>
      <c r="AA18" s="564"/>
    </row>
    <row r="19" spans="1:39">
      <c r="A19" s="106"/>
      <c r="B19" s="106"/>
      <c r="C19" s="106"/>
      <c r="D19" s="106"/>
      <c r="E19" s="106"/>
      <c r="F19" s="106"/>
      <c r="G19" s="106"/>
      <c r="H19" s="108"/>
      <c r="I19" s="1154" t="s">
        <v>1145</v>
      </c>
      <c r="J19" s="1507">
        <f>(L13+M13+S13+T13)/AI13</f>
        <v>3.5714285714285712E-2</v>
      </c>
      <c r="K19" s="1155"/>
      <c r="L19" s="1508">
        <f>(L12+M12+S12+T12)/AI12</f>
        <v>0</v>
      </c>
      <c r="M19" s="1155"/>
      <c r="N19" s="109"/>
      <c r="O19" s="109"/>
      <c r="P19" s="109"/>
      <c r="AA19" s="113"/>
    </row>
    <row r="20" spans="1:39">
      <c r="A20" s="106"/>
      <c r="B20" s="106"/>
      <c r="C20" s="106"/>
      <c r="D20" s="106"/>
      <c r="E20" s="106"/>
      <c r="F20" s="106"/>
      <c r="G20" s="106"/>
      <c r="H20" s="108"/>
      <c r="I20" s="109"/>
      <c r="J20" s="109"/>
      <c r="K20" s="109"/>
      <c r="L20" s="109"/>
      <c r="M20" s="109"/>
      <c r="N20" s="109"/>
      <c r="O20" s="109"/>
      <c r="P20" s="109"/>
    </row>
    <row r="21" spans="1:39">
      <c r="A21" s="106"/>
      <c r="B21" s="106"/>
      <c r="C21" s="106"/>
      <c r="D21" s="106"/>
      <c r="E21" s="106"/>
      <c r="F21" s="106"/>
      <c r="G21" s="106"/>
      <c r="H21" s="108"/>
      <c r="I21" s="109"/>
      <c r="J21" s="109"/>
      <c r="K21" s="109"/>
      <c r="L21" s="109"/>
      <c r="M21" s="109"/>
      <c r="N21" s="109"/>
      <c r="O21" s="109"/>
      <c r="P21" s="109"/>
      <c r="AH21" s="113"/>
    </row>
    <row r="22" spans="1:39">
      <c r="A22" s="106"/>
      <c r="B22" s="106"/>
      <c r="C22" s="106"/>
      <c r="D22" s="106"/>
      <c r="E22" s="106"/>
      <c r="F22" s="106"/>
      <c r="G22" s="106"/>
      <c r="H22" s="108"/>
      <c r="I22" s="109"/>
      <c r="J22" s="109"/>
      <c r="K22" s="109"/>
      <c r="L22" s="109"/>
      <c r="M22" s="109"/>
      <c r="N22" s="109"/>
      <c r="O22" s="109"/>
      <c r="P22" s="109"/>
    </row>
    <row r="23" spans="1:39">
      <c r="A23" s="106"/>
      <c r="B23" s="106"/>
      <c r="C23" s="106"/>
      <c r="D23" s="106"/>
      <c r="E23" s="106"/>
      <c r="F23" s="106"/>
      <c r="G23" s="106"/>
      <c r="H23" s="108"/>
      <c r="I23" s="109"/>
      <c r="J23" s="109"/>
      <c r="K23" s="109"/>
      <c r="L23" s="109"/>
      <c r="M23" s="109"/>
      <c r="N23" s="109"/>
      <c r="O23" s="109"/>
      <c r="P23" s="109"/>
    </row>
    <row r="24" spans="1:39">
      <c r="A24" s="106"/>
      <c r="B24" s="106"/>
      <c r="C24" s="106"/>
      <c r="D24" s="106"/>
      <c r="E24" s="106"/>
      <c r="F24" s="106"/>
      <c r="G24" s="106"/>
      <c r="H24" s="108"/>
      <c r="I24" s="109"/>
      <c r="J24" s="109"/>
      <c r="K24" s="109"/>
      <c r="L24" s="109"/>
      <c r="M24" s="109"/>
      <c r="N24" s="109"/>
      <c r="O24" s="109"/>
      <c r="P24" s="109"/>
    </row>
    <row r="25" spans="1:39">
      <c r="A25" s="106"/>
      <c r="B25" s="106"/>
      <c r="C25" s="106"/>
      <c r="D25" s="106"/>
      <c r="E25" s="106"/>
      <c r="F25" s="106"/>
      <c r="G25" s="106"/>
      <c r="H25" s="108"/>
      <c r="I25" s="109"/>
      <c r="J25" s="109"/>
      <c r="K25" s="109"/>
      <c r="L25" s="109"/>
      <c r="M25" s="109"/>
      <c r="N25" s="109"/>
      <c r="O25" s="109"/>
      <c r="P25" s="109"/>
    </row>
    <row r="26" spans="1:39">
      <c r="A26" s="106"/>
      <c r="B26" s="106"/>
      <c r="C26" s="106"/>
      <c r="D26" s="106"/>
      <c r="E26" s="106"/>
      <c r="F26" s="106"/>
      <c r="G26" s="106"/>
      <c r="H26" s="110"/>
      <c r="I26" s="109"/>
      <c r="J26" s="109"/>
      <c r="K26" s="109"/>
      <c r="L26" s="109"/>
      <c r="M26" s="109"/>
      <c r="N26" s="109"/>
      <c r="O26" s="109"/>
      <c r="P26" s="109"/>
    </row>
    <row r="27" spans="1:39">
      <c r="A27" s="106"/>
      <c r="B27" s="106"/>
      <c r="C27" s="106"/>
      <c r="D27" s="106"/>
      <c r="E27" s="106"/>
      <c r="F27" s="106"/>
      <c r="G27" s="106"/>
      <c r="H27" s="111"/>
      <c r="I27" s="112"/>
      <c r="J27" s="112"/>
      <c r="K27" s="112"/>
      <c r="L27" s="112"/>
      <c r="M27" s="112"/>
      <c r="N27" s="112"/>
      <c r="O27" s="112"/>
      <c r="P27" s="112"/>
    </row>
    <row r="28" spans="1:39">
      <c r="A28" s="106"/>
      <c r="B28" s="106"/>
      <c r="C28" s="457"/>
      <c r="D28" s="106"/>
      <c r="E28" s="204"/>
      <c r="F28" s="204"/>
      <c r="G28" s="106"/>
      <c r="H28" s="106"/>
      <c r="I28" s="108"/>
    </row>
    <row r="29" spans="1:39">
      <c r="A29" s="106"/>
      <c r="B29" s="106"/>
      <c r="C29" s="106"/>
      <c r="D29" s="106"/>
      <c r="E29" s="624">
        <f>A9</f>
        <v>2018</v>
      </c>
      <c r="F29" s="624">
        <f>AI9</f>
        <v>35</v>
      </c>
      <c r="G29" s="106"/>
      <c r="H29" s="106"/>
      <c r="I29" s="110"/>
      <c r="Z29" s="95"/>
    </row>
    <row r="30" spans="1:39">
      <c r="A30" s="106"/>
      <c r="B30" s="106"/>
      <c r="C30" s="106"/>
      <c r="D30" s="106"/>
      <c r="E30" s="624">
        <f>A10</f>
        <v>2019</v>
      </c>
      <c r="F30" s="106">
        <f>AI10</f>
        <v>24</v>
      </c>
      <c r="G30" s="106"/>
      <c r="H30" s="106"/>
      <c r="I30" s="111"/>
      <c r="O30" s="109"/>
      <c r="P30" s="109"/>
      <c r="Z30" s="95"/>
      <c r="AA30" s="95" t="s">
        <v>87</v>
      </c>
      <c r="AB30" s="95" t="s">
        <v>130</v>
      </c>
    </row>
    <row r="31" spans="1:39">
      <c r="A31" s="106"/>
      <c r="B31" s="106"/>
      <c r="D31" s="106"/>
      <c r="E31" s="624">
        <f t="shared" ref="E31:E33" si="4">A11</f>
        <v>2020</v>
      </c>
      <c r="F31" s="106">
        <f t="shared" ref="F31:F33" si="5">AI11</f>
        <v>30</v>
      </c>
      <c r="G31" s="106"/>
      <c r="H31" s="106"/>
      <c r="I31" s="108"/>
      <c r="J31" s="109"/>
      <c r="K31" s="109"/>
      <c r="L31" s="109"/>
      <c r="M31" s="109"/>
      <c r="N31" s="109"/>
      <c r="O31" s="109"/>
      <c r="P31" s="109"/>
      <c r="Z31" s="95">
        <f>A9</f>
        <v>2018</v>
      </c>
      <c r="AA31" s="95">
        <f>AF9</f>
        <v>13</v>
      </c>
      <c r="AB31" s="95">
        <f>AG9</f>
        <v>22</v>
      </c>
    </row>
    <row r="32" spans="1:39">
      <c r="A32" s="106"/>
      <c r="B32" s="106"/>
      <c r="D32" s="106"/>
      <c r="E32" s="624">
        <f t="shared" si="4"/>
        <v>2021</v>
      </c>
      <c r="F32" s="106">
        <f t="shared" si="5"/>
        <v>30</v>
      </c>
      <c r="G32" s="106"/>
      <c r="H32" s="106"/>
      <c r="I32" s="108"/>
      <c r="J32" s="109"/>
      <c r="K32" s="109"/>
      <c r="L32" s="109"/>
      <c r="M32" s="109"/>
      <c r="N32" s="109"/>
      <c r="O32" s="109"/>
      <c r="P32" s="109"/>
      <c r="Z32" s="95">
        <f>A10</f>
        <v>2019</v>
      </c>
      <c r="AA32" s="95">
        <f>AF10</f>
        <v>9</v>
      </c>
      <c r="AB32" s="95">
        <f>AG10</f>
        <v>15</v>
      </c>
    </row>
    <row r="33" spans="1:28">
      <c r="A33" s="106"/>
      <c r="B33" s="106"/>
      <c r="D33" s="106"/>
      <c r="E33" s="624">
        <f t="shared" si="4"/>
        <v>2022</v>
      </c>
      <c r="F33" s="106">
        <f t="shared" si="5"/>
        <v>28</v>
      </c>
      <c r="G33" s="106"/>
      <c r="H33" s="106"/>
      <c r="J33" s="112"/>
      <c r="K33" s="112"/>
      <c r="L33" s="112"/>
      <c r="M33" s="112"/>
      <c r="N33" s="112"/>
      <c r="O33" s="112"/>
      <c r="P33" s="112"/>
      <c r="Z33" s="95">
        <f t="shared" ref="Z33:Z35" si="6">A11</f>
        <v>2020</v>
      </c>
      <c r="AA33" s="95">
        <f t="shared" ref="AA33:AA35" si="7">AF11</f>
        <v>16</v>
      </c>
      <c r="AB33" s="95">
        <f t="shared" ref="AB33:AB35" si="8">AG11</f>
        <v>14</v>
      </c>
    </row>
    <row r="34" spans="1:28">
      <c r="A34" s="106"/>
      <c r="B34" s="106"/>
      <c r="D34" s="106"/>
      <c r="E34" s="106"/>
      <c r="F34" s="106"/>
      <c r="G34" s="106"/>
      <c r="H34" s="106"/>
      <c r="I34" s="108"/>
      <c r="J34" s="109"/>
      <c r="K34" s="109"/>
      <c r="L34" s="109"/>
      <c r="M34" s="109"/>
      <c r="N34" s="109"/>
      <c r="O34" s="109"/>
      <c r="P34" s="109"/>
      <c r="Z34" s="95">
        <f t="shared" si="6"/>
        <v>2021</v>
      </c>
      <c r="AA34" s="95">
        <f t="shared" si="7"/>
        <v>15</v>
      </c>
      <c r="AB34" s="95">
        <f t="shared" si="8"/>
        <v>15</v>
      </c>
    </row>
    <row r="35" spans="1:28">
      <c r="A35" s="106"/>
      <c r="B35" s="106"/>
      <c r="I35" s="109"/>
      <c r="J35" s="109"/>
      <c r="K35" s="109"/>
      <c r="L35" s="109"/>
      <c r="M35" s="109"/>
      <c r="N35" s="109"/>
      <c r="O35" s="109"/>
      <c r="P35" s="109"/>
      <c r="Z35" s="95">
        <f t="shared" si="6"/>
        <v>2022</v>
      </c>
      <c r="AA35" s="95">
        <f t="shared" si="7"/>
        <v>12</v>
      </c>
      <c r="AB35" s="95">
        <f t="shared" si="8"/>
        <v>16</v>
      </c>
    </row>
    <row r="36" spans="1:28">
      <c r="A36" s="106"/>
      <c r="B36" s="106"/>
    </row>
    <row r="37" spans="1:28">
      <c r="A37" s="106"/>
      <c r="B37" s="106"/>
      <c r="I37" s="109"/>
      <c r="J37" s="109"/>
      <c r="K37" s="109"/>
      <c r="L37" s="109"/>
      <c r="M37" s="109"/>
      <c r="N37" s="109"/>
      <c r="O37" s="109"/>
      <c r="P37" s="109"/>
    </row>
    <row r="38" spans="1:28">
      <c r="A38" s="106"/>
      <c r="B38" s="106"/>
      <c r="C38" s="106"/>
      <c r="D38" s="106"/>
      <c r="E38" s="106"/>
      <c r="F38" s="106"/>
      <c r="G38" s="106"/>
      <c r="H38" s="108"/>
      <c r="I38" s="109"/>
      <c r="J38" s="109"/>
      <c r="K38" s="109"/>
      <c r="L38" s="109"/>
      <c r="M38" s="109"/>
      <c r="N38" s="109"/>
      <c r="O38" s="109"/>
      <c r="P38" s="109"/>
    </row>
    <row r="39" spans="1:28">
      <c r="A39" s="106"/>
      <c r="B39" s="106"/>
      <c r="C39" s="106"/>
      <c r="D39" s="106"/>
      <c r="E39" s="106"/>
      <c r="F39" s="106"/>
      <c r="G39" s="106"/>
      <c r="H39" s="110"/>
      <c r="I39" s="109"/>
      <c r="J39" s="109"/>
      <c r="K39" s="109"/>
      <c r="L39" s="109"/>
      <c r="M39" s="109"/>
      <c r="N39" s="109"/>
      <c r="O39" s="109"/>
      <c r="P39" s="109"/>
    </row>
    <row r="52" spans="11:26">
      <c r="Q52" s="113"/>
    </row>
    <row r="53" spans="11:26">
      <c r="Q53" s="113"/>
      <c r="Z53" s="106"/>
    </row>
    <row r="54" spans="11:26">
      <c r="K54" s="108"/>
      <c r="L54" s="108"/>
      <c r="M54" s="108"/>
      <c r="N54" s="108"/>
      <c r="O54" s="109"/>
      <c r="P54" s="109"/>
      <c r="Q54" s="109"/>
      <c r="Z54" s="106"/>
    </row>
    <row r="55" spans="11:26">
      <c r="K55" s="106"/>
      <c r="L55" s="106"/>
      <c r="M55" s="106"/>
      <c r="N55" s="106"/>
      <c r="O55" s="106"/>
      <c r="P55" s="106"/>
    </row>
  </sheetData>
  <mergeCells count="23">
    <mergeCell ref="AM7:AN8"/>
    <mergeCell ref="AM11:AN12"/>
    <mergeCell ref="C5:F5"/>
    <mergeCell ref="L7:M7"/>
    <mergeCell ref="H5:M5"/>
    <mergeCell ref="C7:D7"/>
    <mergeCell ref="E7:F7"/>
    <mergeCell ref="H7:I7"/>
    <mergeCell ref="J7:K7"/>
    <mergeCell ref="AK6:AK8"/>
    <mergeCell ref="V5:Y5"/>
    <mergeCell ref="Q7:R7"/>
    <mergeCell ref="V7:W7"/>
    <mergeCell ref="X7:Y7"/>
    <mergeCell ref="S7:T7"/>
    <mergeCell ref="O5:T5"/>
    <mergeCell ref="AF6:AF8"/>
    <mergeCell ref="AG6:AG8"/>
    <mergeCell ref="AI6:AI8"/>
    <mergeCell ref="O7:P7"/>
    <mergeCell ref="AA5:AD5"/>
    <mergeCell ref="AA7:AB7"/>
    <mergeCell ref="AC7:AD7"/>
  </mergeCells>
  <pageMargins left="0.11811023622047245" right="0.11811023622047245" top="0.35433070866141736" bottom="0.35433070866141736" header="0.31496062992125984" footer="0.31496062992125984"/>
  <pageSetup paperSize="9" scale="8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T69"/>
  <sheetViews>
    <sheetView showGridLines="0" topLeftCell="A13" zoomScaleNormal="100" zoomScaleSheetLayoutView="100" workbookViewId="0">
      <selection activeCell="E53" sqref="E53"/>
    </sheetView>
  </sheetViews>
  <sheetFormatPr baseColWidth="10" defaultRowHeight="10.5"/>
  <cols>
    <col min="1" max="1" width="6.6640625" customWidth="1"/>
    <col min="2" max="2" width="11.5" customWidth="1"/>
    <col min="3" max="3" width="12.1640625" customWidth="1"/>
    <col min="4" max="6" width="10.6640625" customWidth="1"/>
    <col min="7" max="7" width="12.6640625" customWidth="1"/>
    <col min="8" max="8" width="12.1640625" style="178" customWidth="1"/>
    <col min="9" max="9" width="10.6640625" style="178" customWidth="1"/>
    <col min="10" max="10" width="12" style="178" customWidth="1"/>
    <col min="11" max="11" width="12" customWidth="1"/>
    <col min="12" max="12" width="10.6640625" customWidth="1"/>
    <col min="13" max="13" width="11.83203125" customWidth="1"/>
    <col min="14" max="14" width="11.6640625" customWidth="1"/>
    <col min="15" max="15" width="10.6640625" customWidth="1"/>
    <col min="233" max="233" width="6.6640625" customWidth="1"/>
    <col min="234" max="234" width="11.5" customWidth="1"/>
    <col min="235" max="248" width="10.6640625" customWidth="1"/>
    <col min="249" max="249" width="11.6640625" customWidth="1"/>
    <col min="489" max="489" width="6.6640625" customWidth="1"/>
    <col min="490" max="490" width="11.5" customWidth="1"/>
    <col min="491" max="504" width="10.6640625" customWidth="1"/>
    <col min="505" max="505" width="11.6640625" customWidth="1"/>
    <col min="745" max="745" width="6.6640625" customWidth="1"/>
    <col min="746" max="746" width="11.5" customWidth="1"/>
    <col min="747" max="760" width="10.6640625" customWidth="1"/>
    <col min="761" max="761" width="11.6640625" customWidth="1"/>
    <col min="1001" max="1001" width="6.6640625" customWidth="1"/>
    <col min="1002" max="1002" width="11.5" customWidth="1"/>
    <col min="1003" max="1016" width="10.6640625" customWidth="1"/>
    <col min="1017" max="1017" width="11.6640625" customWidth="1"/>
    <col min="1257" max="1257" width="6.6640625" customWidth="1"/>
    <col min="1258" max="1258" width="11.5" customWidth="1"/>
    <col min="1259" max="1272" width="10.6640625" customWidth="1"/>
    <col min="1273" max="1273" width="11.6640625" customWidth="1"/>
    <col min="1513" max="1513" width="6.6640625" customWidth="1"/>
    <col min="1514" max="1514" width="11.5" customWidth="1"/>
    <col min="1515" max="1528" width="10.6640625" customWidth="1"/>
    <col min="1529" max="1529" width="11.6640625" customWidth="1"/>
    <col min="1769" max="1769" width="6.6640625" customWidth="1"/>
    <col min="1770" max="1770" width="11.5" customWidth="1"/>
    <col min="1771" max="1784" width="10.6640625" customWidth="1"/>
    <col min="1785" max="1785" width="11.6640625" customWidth="1"/>
    <col min="2025" max="2025" width="6.6640625" customWidth="1"/>
    <col min="2026" max="2026" width="11.5" customWidth="1"/>
    <col min="2027" max="2040" width="10.6640625" customWidth="1"/>
    <col min="2041" max="2041" width="11.6640625" customWidth="1"/>
    <col min="2281" max="2281" width="6.6640625" customWidth="1"/>
    <col min="2282" max="2282" width="11.5" customWidth="1"/>
    <col min="2283" max="2296" width="10.6640625" customWidth="1"/>
    <col min="2297" max="2297" width="11.6640625" customWidth="1"/>
    <col min="2537" max="2537" width="6.6640625" customWidth="1"/>
    <col min="2538" max="2538" width="11.5" customWidth="1"/>
    <col min="2539" max="2552" width="10.6640625" customWidth="1"/>
    <col min="2553" max="2553" width="11.6640625" customWidth="1"/>
    <col min="2793" max="2793" width="6.6640625" customWidth="1"/>
    <col min="2794" max="2794" width="11.5" customWidth="1"/>
    <col min="2795" max="2808" width="10.6640625" customWidth="1"/>
    <col min="2809" max="2809" width="11.6640625" customWidth="1"/>
    <col min="3049" max="3049" width="6.6640625" customWidth="1"/>
    <col min="3050" max="3050" width="11.5" customWidth="1"/>
    <col min="3051" max="3064" width="10.6640625" customWidth="1"/>
    <col min="3065" max="3065" width="11.6640625" customWidth="1"/>
    <col min="3305" max="3305" width="6.6640625" customWidth="1"/>
    <col min="3306" max="3306" width="11.5" customWidth="1"/>
    <col min="3307" max="3320" width="10.6640625" customWidth="1"/>
    <col min="3321" max="3321" width="11.6640625" customWidth="1"/>
    <col min="3561" max="3561" width="6.6640625" customWidth="1"/>
    <col min="3562" max="3562" width="11.5" customWidth="1"/>
    <col min="3563" max="3576" width="10.6640625" customWidth="1"/>
    <col min="3577" max="3577" width="11.6640625" customWidth="1"/>
    <col min="3817" max="3817" width="6.6640625" customWidth="1"/>
    <col min="3818" max="3818" width="11.5" customWidth="1"/>
    <col min="3819" max="3832" width="10.6640625" customWidth="1"/>
    <col min="3833" max="3833" width="11.6640625" customWidth="1"/>
    <col min="4073" max="4073" width="6.6640625" customWidth="1"/>
    <col min="4074" max="4074" width="11.5" customWidth="1"/>
    <col min="4075" max="4088" width="10.6640625" customWidth="1"/>
    <col min="4089" max="4089" width="11.6640625" customWidth="1"/>
    <col min="4329" max="4329" width="6.6640625" customWidth="1"/>
    <col min="4330" max="4330" width="11.5" customWidth="1"/>
    <col min="4331" max="4344" width="10.6640625" customWidth="1"/>
    <col min="4345" max="4345" width="11.6640625" customWidth="1"/>
    <col min="4585" max="4585" width="6.6640625" customWidth="1"/>
    <col min="4586" max="4586" width="11.5" customWidth="1"/>
    <col min="4587" max="4600" width="10.6640625" customWidth="1"/>
    <col min="4601" max="4601" width="11.6640625" customWidth="1"/>
    <col min="4841" max="4841" width="6.6640625" customWidth="1"/>
    <col min="4842" max="4842" width="11.5" customWidth="1"/>
    <col min="4843" max="4856" width="10.6640625" customWidth="1"/>
    <col min="4857" max="4857" width="11.6640625" customWidth="1"/>
    <col min="5097" max="5097" width="6.6640625" customWidth="1"/>
    <col min="5098" max="5098" width="11.5" customWidth="1"/>
    <col min="5099" max="5112" width="10.6640625" customWidth="1"/>
    <col min="5113" max="5113" width="11.6640625" customWidth="1"/>
    <col min="5353" max="5353" width="6.6640625" customWidth="1"/>
    <col min="5354" max="5354" width="11.5" customWidth="1"/>
    <col min="5355" max="5368" width="10.6640625" customWidth="1"/>
    <col min="5369" max="5369" width="11.6640625" customWidth="1"/>
    <col min="5609" max="5609" width="6.6640625" customWidth="1"/>
    <col min="5610" max="5610" width="11.5" customWidth="1"/>
    <col min="5611" max="5624" width="10.6640625" customWidth="1"/>
    <col min="5625" max="5625" width="11.6640625" customWidth="1"/>
    <col min="5865" max="5865" width="6.6640625" customWidth="1"/>
    <col min="5866" max="5866" width="11.5" customWidth="1"/>
    <col min="5867" max="5880" width="10.6640625" customWidth="1"/>
    <col min="5881" max="5881" width="11.6640625" customWidth="1"/>
    <col min="6121" max="6121" width="6.6640625" customWidth="1"/>
    <col min="6122" max="6122" width="11.5" customWidth="1"/>
    <col min="6123" max="6136" width="10.6640625" customWidth="1"/>
    <col min="6137" max="6137" width="11.6640625" customWidth="1"/>
    <col min="6377" max="6377" width="6.6640625" customWidth="1"/>
    <col min="6378" max="6378" width="11.5" customWidth="1"/>
    <col min="6379" max="6392" width="10.6640625" customWidth="1"/>
    <col min="6393" max="6393" width="11.6640625" customWidth="1"/>
    <col min="6633" max="6633" width="6.6640625" customWidth="1"/>
    <col min="6634" max="6634" width="11.5" customWidth="1"/>
    <col min="6635" max="6648" width="10.6640625" customWidth="1"/>
    <col min="6649" max="6649" width="11.6640625" customWidth="1"/>
    <col min="6889" max="6889" width="6.6640625" customWidth="1"/>
    <col min="6890" max="6890" width="11.5" customWidth="1"/>
    <col min="6891" max="6904" width="10.6640625" customWidth="1"/>
    <col min="6905" max="6905" width="11.6640625" customWidth="1"/>
    <col min="7145" max="7145" width="6.6640625" customWidth="1"/>
    <col min="7146" max="7146" width="11.5" customWidth="1"/>
    <col min="7147" max="7160" width="10.6640625" customWidth="1"/>
    <col min="7161" max="7161" width="11.6640625" customWidth="1"/>
    <col min="7401" max="7401" width="6.6640625" customWidth="1"/>
    <col min="7402" max="7402" width="11.5" customWidth="1"/>
    <col min="7403" max="7416" width="10.6640625" customWidth="1"/>
    <col min="7417" max="7417" width="11.6640625" customWidth="1"/>
    <col min="7657" max="7657" width="6.6640625" customWidth="1"/>
    <col min="7658" max="7658" width="11.5" customWidth="1"/>
    <col min="7659" max="7672" width="10.6640625" customWidth="1"/>
    <col min="7673" max="7673" width="11.6640625" customWidth="1"/>
    <col min="7913" max="7913" width="6.6640625" customWidth="1"/>
    <col min="7914" max="7914" width="11.5" customWidth="1"/>
    <col min="7915" max="7928" width="10.6640625" customWidth="1"/>
    <col min="7929" max="7929" width="11.6640625" customWidth="1"/>
    <col min="8169" max="8169" width="6.6640625" customWidth="1"/>
    <col min="8170" max="8170" width="11.5" customWidth="1"/>
    <col min="8171" max="8184" width="10.6640625" customWidth="1"/>
    <col min="8185" max="8185" width="11.6640625" customWidth="1"/>
    <col min="8425" max="8425" width="6.6640625" customWidth="1"/>
    <col min="8426" max="8426" width="11.5" customWidth="1"/>
    <col min="8427" max="8440" width="10.6640625" customWidth="1"/>
    <col min="8441" max="8441" width="11.6640625" customWidth="1"/>
    <col min="8681" max="8681" width="6.6640625" customWidth="1"/>
    <col min="8682" max="8682" width="11.5" customWidth="1"/>
    <col min="8683" max="8696" width="10.6640625" customWidth="1"/>
    <col min="8697" max="8697" width="11.6640625" customWidth="1"/>
    <col min="8937" max="8937" width="6.6640625" customWidth="1"/>
    <col min="8938" max="8938" width="11.5" customWidth="1"/>
    <col min="8939" max="8952" width="10.6640625" customWidth="1"/>
    <col min="8953" max="8953" width="11.6640625" customWidth="1"/>
    <col min="9193" max="9193" width="6.6640625" customWidth="1"/>
    <col min="9194" max="9194" width="11.5" customWidth="1"/>
    <col min="9195" max="9208" width="10.6640625" customWidth="1"/>
    <col min="9209" max="9209" width="11.6640625" customWidth="1"/>
    <col min="9449" max="9449" width="6.6640625" customWidth="1"/>
    <col min="9450" max="9450" width="11.5" customWidth="1"/>
    <col min="9451" max="9464" width="10.6640625" customWidth="1"/>
    <col min="9465" max="9465" width="11.6640625" customWidth="1"/>
    <col min="9705" max="9705" width="6.6640625" customWidth="1"/>
    <col min="9706" max="9706" width="11.5" customWidth="1"/>
    <col min="9707" max="9720" width="10.6640625" customWidth="1"/>
    <col min="9721" max="9721" width="11.6640625" customWidth="1"/>
    <col min="9961" max="9961" width="6.6640625" customWidth="1"/>
    <col min="9962" max="9962" width="11.5" customWidth="1"/>
    <col min="9963" max="9976" width="10.6640625" customWidth="1"/>
    <col min="9977" max="9977" width="11.6640625" customWidth="1"/>
    <col min="10217" max="10217" width="6.6640625" customWidth="1"/>
    <col min="10218" max="10218" width="11.5" customWidth="1"/>
    <col min="10219" max="10232" width="10.6640625" customWidth="1"/>
    <col min="10233" max="10233" width="11.6640625" customWidth="1"/>
    <col min="10473" max="10473" width="6.6640625" customWidth="1"/>
    <col min="10474" max="10474" width="11.5" customWidth="1"/>
    <col min="10475" max="10488" width="10.6640625" customWidth="1"/>
    <col min="10489" max="10489" width="11.6640625" customWidth="1"/>
    <col min="10729" max="10729" width="6.6640625" customWidth="1"/>
    <col min="10730" max="10730" width="11.5" customWidth="1"/>
    <col min="10731" max="10744" width="10.6640625" customWidth="1"/>
    <col min="10745" max="10745" width="11.6640625" customWidth="1"/>
    <col min="10985" max="10985" width="6.6640625" customWidth="1"/>
    <col min="10986" max="10986" width="11.5" customWidth="1"/>
    <col min="10987" max="11000" width="10.6640625" customWidth="1"/>
    <col min="11001" max="11001" width="11.6640625" customWidth="1"/>
    <col min="11241" max="11241" width="6.6640625" customWidth="1"/>
    <col min="11242" max="11242" width="11.5" customWidth="1"/>
    <col min="11243" max="11256" width="10.6640625" customWidth="1"/>
    <col min="11257" max="11257" width="11.6640625" customWidth="1"/>
    <col min="11497" max="11497" width="6.6640625" customWidth="1"/>
    <col min="11498" max="11498" width="11.5" customWidth="1"/>
    <col min="11499" max="11512" width="10.6640625" customWidth="1"/>
    <col min="11513" max="11513" width="11.6640625" customWidth="1"/>
    <col min="11753" max="11753" width="6.6640625" customWidth="1"/>
    <col min="11754" max="11754" width="11.5" customWidth="1"/>
    <col min="11755" max="11768" width="10.6640625" customWidth="1"/>
    <col min="11769" max="11769" width="11.6640625" customWidth="1"/>
    <col min="12009" max="12009" width="6.6640625" customWidth="1"/>
    <col min="12010" max="12010" width="11.5" customWidth="1"/>
    <col min="12011" max="12024" width="10.6640625" customWidth="1"/>
    <col min="12025" max="12025" width="11.6640625" customWidth="1"/>
    <col min="12265" max="12265" width="6.6640625" customWidth="1"/>
    <col min="12266" max="12266" width="11.5" customWidth="1"/>
    <col min="12267" max="12280" width="10.6640625" customWidth="1"/>
    <col min="12281" max="12281" width="11.6640625" customWidth="1"/>
    <col min="12521" max="12521" width="6.6640625" customWidth="1"/>
    <col min="12522" max="12522" width="11.5" customWidth="1"/>
    <col min="12523" max="12536" width="10.6640625" customWidth="1"/>
    <col min="12537" max="12537" width="11.6640625" customWidth="1"/>
    <col min="12777" max="12777" width="6.6640625" customWidth="1"/>
    <col min="12778" max="12778" width="11.5" customWidth="1"/>
    <col min="12779" max="12792" width="10.6640625" customWidth="1"/>
    <col min="12793" max="12793" width="11.6640625" customWidth="1"/>
    <col min="13033" max="13033" width="6.6640625" customWidth="1"/>
    <col min="13034" max="13034" width="11.5" customWidth="1"/>
    <col min="13035" max="13048" width="10.6640625" customWidth="1"/>
    <col min="13049" max="13049" width="11.6640625" customWidth="1"/>
    <col min="13289" max="13289" width="6.6640625" customWidth="1"/>
    <col min="13290" max="13290" width="11.5" customWidth="1"/>
    <col min="13291" max="13304" width="10.6640625" customWidth="1"/>
    <col min="13305" max="13305" width="11.6640625" customWidth="1"/>
    <col min="13545" max="13545" width="6.6640625" customWidth="1"/>
    <col min="13546" max="13546" width="11.5" customWidth="1"/>
    <col min="13547" max="13560" width="10.6640625" customWidth="1"/>
    <col min="13561" max="13561" width="11.6640625" customWidth="1"/>
    <col min="13801" max="13801" width="6.6640625" customWidth="1"/>
    <col min="13802" max="13802" width="11.5" customWidth="1"/>
    <col min="13803" max="13816" width="10.6640625" customWidth="1"/>
    <col min="13817" max="13817" width="11.6640625" customWidth="1"/>
    <col min="14057" max="14057" width="6.6640625" customWidth="1"/>
    <col min="14058" max="14058" width="11.5" customWidth="1"/>
    <col min="14059" max="14072" width="10.6640625" customWidth="1"/>
    <col min="14073" max="14073" width="11.6640625" customWidth="1"/>
    <col min="14313" max="14313" width="6.6640625" customWidth="1"/>
    <col min="14314" max="14314" width="11.5" customWidth="1"/>
    <col min="14315" max="14328" width="10.6640625" customWidth="1"/>
    <col min="14329" max="14329" width="11.6640625" customWidth="1"/>
    <col min="14569" max="14569" width="6.6640625" customWidth="1"/>
    <col min="14570" max="14570" width="11.5" customWidth="1"/>
    <col min="14571" max="14584" width="10.6640625" customWidth="1"/>
    <col min="14585" max="14585" width="11.6640625" customWidth="1"/>
    <col min="14825" max="14825" width="6.6640625" customWidth="1"/>
    <col min="14826" max="14826" width="11.5" customWidth="1"/>
    <col min="14827" max="14840" width="10.6640625" customWidth="1"/>
    <col min="14841" max="14841" width="11.6640625" customWidth="1"/>
    <col min="15081" max="15081" width="6.6640625" customWidth="1"/>
    <col min="15082" max="15082" width="11.5" customWidth="1"/>
    <col min="15083" max="15096" width="10.6640625" customWidth="1"/>
    <col min="15097" max="15097" width="11.6640625" customWidth="1"/>
    <col min="15337" max="15337" width="6.6640625" customWidth="1"/>
    <col min="15338" max="15338" width="11.5" customWidth="1"/>
    <col min="15339" max="15352" width="10.6640625" customWidth="1"/>
    <col min="15353" max="15353" width="11.6640625" customWidth="1"/>
    <col min="15593" max="15593" width="6.6640625" customWidth="1"/>
    <col min="15594" max="15594" width="11.5" customWidth="1"/>
    <col min="15595" max="15608" width="10.6640625" customWidth="1"/>
    <col min="15609" max="15609" width="11.6640625" customWidth="1"/>
    <col min="15849" max="15849" width="6.6640625" customWidth="1"/>
    <col min="15850" max="15850" width="11.5" customWidth="1"/>
    <col min="15851" max="15864" width="10.6640625" customWidth="1"/>
    <col min="15865" max="15865" width="11.6640625" customWidth="1"/>
    <col min="16105" max="16105" width="6.6640625" customWidth="1"/>
    <col min="16106" max="16106" width="11.5" customWidth="1"/>
    <col min="16107" max="16120" width="10.6640625" customWidth="1"/>
    <col min="16121" max="16121" width="11.6640625" customWidth="1"/>
  </cols>
  <sheetData>
    <row r="1" spans="1:14" s="185" customFormat="1" ht="21">
      <c r="A1" s="179" t="s">
        <v>619</v>
      </c>
      <c r="H1" s="271"/>
      <c r="I1" s="271"/>
      <c r="J1" s="271"/>
    </row>
    <row r="2" spans="1:14" s="185" customFormat="1" ht="4.9000000000000004" customHeight="1">
      <c r="H2" s="271"/>
      <c r="I2" s="271"/>
      <c r="J2" s="271"/>
    </row>
    <row r="3" spans="1:14" s="185" customFormat="1" ht="12" customHeight="1">
      <c r="A3" s="26" t="s">
        <v>901</v>
      </c>
      <c r="H3" s="271"/>
      <c r="I3" s="271"/>
      <c r="J3" s="271"/>
    </row>
    <row r="4" spans="1:14" ht="15.75">
      <c r="A4" s="191" t="s">
        <v>711</v>
      </c>
      <c r="E4" s="168"/>
      <c r="F4" s="658"/>
      <c r="G4" s="1"/>
      <c r="H4" s="3"/>
      <c r="I4" s="3"/>
      <c r="J4" s="3"/>
    </row>
    <row r="5" spans="1:14" ht="11.25" customHeight="1" thickBot="1">
      <c r="E5" s="168"/>
      <c r="F5" s="861"/>
      <c r="G5" s="1"/>
      <c r="H5" s="3"/>
      <c r="I5" s="863"/>
      <c r="J5" s="3"/>
      <c r="L5" s="1343" t="s">
        <v>802</v>
      </c>
    </row>
    <row r="6" spans="1:14" s="139" customFormat="1" ht="22.9" customHeight="1" thickBot="1">
      <c r="A6" s="1592"/>
      <c r="B6" s="1593" t="s">
        <v>862</v>
      </c>
      <c r="C6" s="1594"/>
      <c r="D6" s="1595"/>
      <c r="E6" s="1593" t="s">
        <v>969</v>
      </c>
      <c r="F6" s="1596"/>
      <c r="G6" s="1597"/>
      <c r="H6" s="1598" t="s">
        <v>579</v>
      </c>
      <c r="I6" s="1594"/>
      <c r="J6" s="1595"/>
      <c r="K6" s="1586" t="s">
        <v>970</v>
      </c>
      <c r="L6" s="1587"/>
      <c r="M6" s="1588"/>
    </row>
    <row r="7" spans="1:14" s="139" customFormat="1" ht="22.9" customHeight="1" thickBot="1">
      <c r="A7" s="1592"/>
      <c r="B7" s="487" t="s">
        <v>89</v>
      </c>
      <c r="C7" s="487" t="s">
        <v>88</v>
      </c>
      <c r="D7" s="661" t="s">
        <v>47</v>
      </c>
      <c r="E7" s="487" t="s">
        <v>89</v>
      </c>
      <c r="F7" s="487" t="s">
        <v>88</v>
      </c>
      <c r="G7" s="661" t="s">
        <v>47</v>
      </c>
      <c r="H7" s="487" t="s">
        <v>89</v>
      </c>
      <c r="I7" s="487" t="s">
        <v>88</v>
      </c>
      <c r="J7" s="661" t="s">
        <v>47</v>
      </c>
      <c r="K7" s="487" t="s">
        <v>89</v>
      </c>
      <c r="L7" s="487" t="s">
        <v>88</v>
      </c>
      <c r="M7" s="660" t="s">
        <v>47</v>
      </c>
      <c r="N7" s="660" t="s">
        <v>318</v>
      </c>
    </row>
    <row r="8" spans="1:14" s="139" customFormat="1" ht="22.9" customHeight="1" thickBot="1">
      <c r="A8" s="1592"/>
      <c r="B8" s="1334">
        <v>81.7</v>
      </c>
      <c r="C8" s="1334">
        <v>134.9</v>
      </c>
      <c r="D8" s="660">
        <f>SUM(B8:C8)</f>
        <v>216.60000000000002</v>
      </c>
      <c r="E8" s="1334">
        <v>7</v>
      </c>
      <c r="F8" s="1334">
        <v>9.1</v>
      </c>
      <c r="G8" s="660">
        <f>SUM(E8:F8)</f>
        <v>16.100000000000001</v>
      </c>
      <c r="H8" s="1334">
        <v>43</v>
      </c>
      <c r="I8" s="1334">
        <v>76</v>
      </c>
      <c r="J8" s="660">
        <f>SUM(H8:I8)</f>
        <v>119</v>
      </c>
      <c r="K8" s="1334">
        <v>31.6</v>
      </c>
      <c r="L8" s="1334">
        <v>31.3</v>
      </c>
      <c r="M8" s="660">
        <f>SUM(K8:L8)</f>
        <v>62.900000000000006</v>
      </c>
      <c r="N8" s="660">
        <f>SUM(D8,G8,J8,M8)</f>
        <v>414.6</v>
      </c>
    </row>
    <row r="9" spans="1:14" s="253" customFormat="1" ht="6" customHeight="1" thickBot="1">
      <c r="A9" s="202"/>
      <c r="B9" s="800"/>
      <c r="C9" s="800"/>
      <c r="D9" s="799"/>
      <c r="E9" s="800"/>
      <c r="F9" s="862"/>
      <c r="G9" s="799"/>
      <c r="H9" s="800"/>
      <c r="I9" s="862"/>
      <c r="J9" s="799"/>
      <c r="K9" s="202"/>
      <c r="L9" s="800"/>
      <c r="M9" s="799"/>
    </row>
    <row r="10" spans="1:14" s="253" customFormat="1" ht="22.9" customHeight="1" thickBot="1">
      <c r="A10" s="202"/>
      <c r="B10" s="800"/>
      <c r="C10" s="800"/>
      <c r="D10" s="799"/>
      <c r="E10" s="1589" t="s">
        <v>440</v>
      </c>
      <c r="F10" s="1590"/>
      <c r="G10" s="1591"/>
      <c r="H10" s="1589" t="s">
        <v>587</v>
      </c>
      <c r="I10" s="1590"/>
      <c r="J10" s="1591"/>
      <c r="K10" s="202"/>
      <c r="L10" s="800"/>
      <c r="M10" s="799"/>
    </row>
    <row r="11" spans="1:14" s="253" customFormat="1" ht="22.9" customHeight="1" thickBot="1">
      <c r="A11" s="202"/>
      <c r="B11" s="800"/>
      <c r="C11" s="800"/>
      <c r="D11" s="799"/>
      <c r="E11" s="487" t="s">
        <v>89</v>
      </c>
      <c r="F11" s="487" t="s">
        <v>88</v>
      </c>
      <c r="G11" s="660" t="s">
        <v>47</v>
      </c>
      <c r="H11" s="487" t="s">
        <v>89</v>
      </c>
      <c r="I11" s="487" t="s">
        <v>88</v>
      </c>
      <c r="J11" s="661" t="s">
        <v>47</v>
      </c>
      <c r="K11" s="660" t="s">
        <v>318</v>
      </c>
      <c r="L11" s="800"/>
      <c r="M11" s="799"/>
    </row>
    <row r="12" spans="1:14" s="253" customFormat="1" ht="22.9" customHeight="1" thickBot="1">
      <c r="A12" s="202"/>
      <c r="B12" s="800"/>
      <c r="C12" s="800"/>
      <c r="D12" s="799"/>
      <c r="E12" s="1459">
        <v>45.17</v>
      </c>
      <c r="F12" s="1334">
        <v>22.8</v>
      </c>
      <c r="G12" s="1458">
        <f>SUM(E12:F12)</f>
        <v>67.97</v>
      </c>
      <c r="H12" s="1334">
        <v>8.6</v>
      </c>
      <c r="I12" s="1334">
        <v>9</v>
      </c>
      <c r="J12" s="660">
        <f>SUM(H12:I12)</f>
        <v>17.600000000000001</v>
      </c>
      <c r="K12" s="1458">
        <f>SUM(G12,J12)</f>
        <v>85.57</v>
      </c>
      <c r="L12" s="800"/>
      <c r="M12" s="799"/>
    </row>
    <row r="13" spans="1:14" s="253" customFormat="1" ht="7.5" customHeight="1">
      <c r="A13" s="202"/>
      <c r="B13" s="800"/>
      <c r="C13" s="800"/>
      <c r="D13" s="799"/>
      <c r="E13" s="800"/>
      <c r="F13" s="800"/>
      <c r="G13" s="799"/>
      <c r="H13" s="800"/>
      <c r="I13" s="800"/>
      <c r="J13" s="799"/>
      <c r="K13" s="202"/>
      <c r="L13" s="800"/>
      <c r="M13" s="799"/>
    </row>
    <row r="14" spans="1:14" s="185" customFormat="1" ht="12" customHeight="1">
      <c r="A14" s="26" t="s">
        <v>901</v>
      </c>
      <c r="B14" s="1164"/>
      <c r="C14" s="1164"/>
      <c r="D14" s="1164"/>
      <c r="E14" s="1164"/>
      <c r="F14" s="1164"/>
      <c r="G14" s="1164"/>
      <c r="H14" s="271"/>
      <c r="I14" s="271"/>
      <c r="J14" s="271"/>
      <c r="K14" s="1164"/>
      <c r="L14" s="1164"/>
      <c r="M14" s="1164"/>
      <c r="N14" s="1164"/>
    </row>
    <row r="15" spans="1:14" ht="15.75">
      <c r="A15" s="191" t="s">
        <v>711</v>
      </c>
      <c r="B15" s="1161"/>
      <c r="C15" s="1161"/>
      <c r="D15" s="1161"/>
      <c r="E15" s="168"/>
      <c r="F15" s="658"/>
      <c r="G15" s="1"/>
      <c r="H15" s="3"/>
      <c r="I15" s="3"/>
      <c r="J15" s="3"/>
      <c r="K15" s="1161"/>
      <c r="L15" s="1161"/>
      <c r="M15" s="1161"/>
      <c r="N15" s="1161"/>
    </row>
    <row r="16" spans="1:14" ht="11.25" customHeight="1" thickBot="1">
      <c r="A16" s="1161"/>
      <c r="B16" s="1161"/>
      <c r="C16" s="1161"/>
      <c r="D16" s="1161"/>
      <c r="E16" s="168"/>
      <c r="F16" s="861"/>
      <c r="G16" s="1"/>
      <c r="H16" s="3"/>
      <c r="I16" s="863"/>
      <c r="J16" s="3"/>
      <c r="K16" s="1161"/>
      <c r="L16" s="1343" t="s">
        <v>802</v>
      </c>
      <c r="M16" s="1161"/>
      <c r="N16" s="1161"/>
    </row>
    <row r="17" spans="1:14" s="139" customFormat="1" ht="22.9" customHeight="1" thickBot="1">
      <c r="A17" s="1592"/>
      <c r="B17" s="1593" t="s">
        <v>862</v>
      </c>
      <c r="C17" s="1594"/>
      <c r="D17" s="1595"/>
      <c r="E17" s="1593" t="s">
        <v>969</v>
      </c>
      <c r="F17" s="1596"/>
      <c r="G17" s="1597"/>
      <c r="H17" s="1598" t="s">
        <v>579</v>
      </c>
      <c r="I17" s="1594"/>
      <c r="J17" s="1595"/>
      <c r="K17" s="1586" t="s">
        <v>970</v>
      </c>
      <c r="L17" s="1587"/>
      <c r="M17" s="1588"/>
      <c r="N17" s="1162"/>
    </row>
    <row r="18" spans="1:14" s="139" customFormat="1" ht="22.9" customHeight="1" thickBot="1">
      <c r="A18" s="1592"/>
      <c r="B18" s="487" t="s">
        <v>89</v>
      </c>
      <c r="C18" s="487" t="s">
        <v>88</v>
      </c>
      <c r="D18" s="661" t="s">
        <v>47</v>
      </c>
      <c r="E18" s="487" t="s">
        <v>89</v>
      </c>
      <c r="F18" s="487" t="s">
        <v>88</v>
      </c>
      <c r="G18" s="661" t="s">
        <v>47</v>
      </c>
      <c r="H18" s="487" t="s">
        <v>89</v>
      </c>
      <c r="I18" s="487" t="s">
        <v>88</v>
      </c>
      <c r="J18" s="661" t="s">
        <v>47</v>
      </c>
      <c r="K18" s="487" t="s">
        <v>89</v>
      </c>
      <c r="L18" s="487" t="s">
        <v>88</v>
      </c>
      <c r="M18" s="660" t="s">
        <v>47</v>
      </c>
      <c r="N18" s="660" t="s">
        <v>318</v>
      </c>
    </row>
    <row r="19" spans="1:14" s="139" customFormat="1" ht="22.9" customHeight="1" thickBot="1">
      <c r="A19" s="1592"/>
      <c r="B19" s="487">
        <v>84.3</v>
      </c>
      <c r="C19" s="487">
        <v>140.15</v>
      </c>
      <c r="D19" s="661">
        <f>SUM(B19:C19)</f>
        <v>224.45</v>
      </c>
      <c r="E19" s="487">
        <v>6.4</v>
      </c>
      <c r="F19" s="487">
        <v>7.1</v>
      </c>
      <c r="G19" s="661">
        <f>SUM(E19:F19)</f>
        <v>13.5</v>
      </c>
      <c r="H19" s="487">
        <v>45</v>
      </c>
      <c r="I19" s="487">
        <v>74.8</v>
      </c>
      <c r="J19" s="661">
        <f>SUM(H19:I19)</f>
        <v>119.8</v>
      </c>
      <c r="K19" s="487">
        <v>11.5</v>
      </c>
      <c r="L19" s="487">
        <v>25.1</v>
      </c>
      <c r="M19" s="660">
        <f>SUM(K19:L19)</f>
        <v>36.6</v>
      </c>
      <c r="N19" s="660">
        <f>SUM(D19,G19,J19,M19)</f>
        <v>394.35</v>
      </c>
    </row>
    <row r="20" spans="1:14" s="253" customFormat="1" ht="6" customHeight="1" thickBot="1">
      <c r="A20" s="202"/>
      <c r="B20" s="800"/>
      <c r="C20" s="800"/>
      <c r="D20" s="799"/>
      <c r="E20" s="800"/>
      <c r="F20" s="862"/>
      <c r="G20" s="799"/>
      <c r="H20" s="800"/>
      <c r="I20" s="862"/>
      <c r="J20" s="799"/>
      <c r="K20" s="202"/>
      <c r="L20" s="800"/>
      <c r="M20" s="799"/>
    </row>
    <row r="21" spans="1:14" s="253" customFormat="1" ht="22.9" customHeight="1" thickBot="1">
      <c r="A21" s="202"/>
      <c r="B21" s="800"/>
      <c r="C21" s="800"/>
      <c r="D21" s="799"/>
      <c r="E21" s="1589" t="s">
        <v>440</v>
      </c>
      <c r="F21" s="1590"/>
      <c r="G21" s="1591"/>
      <c r="H21" s="1589" t="s">
        <v>587</v>
      </c>
      <c r="I21" s="1590"/>
      <c r="J21" s="1591"/>
      <c r="K21" s="202"/>
      <c r="L21" s="800"/>
      <c r="M21" s="799"/>
    </row>
    <row r="22" spans="1:14" s="253" customFormat="1" ht="22.9" customHeight="1" thickBot="1">
      <c r="A22" s="202"/>
      <c r="B22" s="800"/>
      <c r="C22" s="800"/>
      <c r="D22" s="799"/>
      <c r="E22" s="487" t="s">
        <v>89</v>
      </c>
      <c r="F22" s="487" t="s">
        <v>88</v>
      </c>
      <c r="G22" s="660" t="s">
        <v>47</v>
      </c>
      <c r="H22" s="487" t="s">
        <v>89</v>
      </c>
      <c r="I22" s="487" t="s">
        <v>88</v>
      </c>
      <c r="J22" s="661" t="s">
        <v>47</v>
      </c>
      <c r="K22" s="660" t="s">
        <v>318</v>
      </c>
      <c r="L22" s="800"/>
      <c r="M22" s="799"/>
    </row>
    <row r="23" spans="1:14" s="253" customFormat="1" ht="22.9" customHeight="1" thickBot="1">
      <c r="A23" s="202"/>
      <c r="B23" s="800"/>
      <c r="C23" s="800"/>
      <c r="D23" s="799"/>
      <c r="E23" s="487">
        <v>43.53</v>
      </c>
      <c r="F23" s="487">
        <v>22.8</v>
      </c>
      <c r="G23" s="661">
        <f>SUM(E23:F23)</f>
        <v>66.33</v>
      </c>
      <c r="H23" s="487">
        <v>6</v>
      </c>
      <c r="I23" s="487">
        <v>11</v>
      </c>
      <c r="J23" s="661">
        <f>SUM(H23:I23)</f>
        <v>17</v>
      </c>
      <c r="K23" s="660">
        <f>SUM(G23,J23)</f>
        <v>83.33</v>
      </c>
      <c r="L23" s="800"/>
      <c r="M23" s="799"/>
    </row>
    <row r="24" spans="1:14" s="253" customFormat="1" ht="7.5" customHeight="1">
      <c r="A24" s="202"/>
      <c r="B24" s="800"/>
      <c r="C24" s="800"/>
      <c r="D24" s="799"/>
      <c r="E24" s="800"/>
      <c r="F24" s="800"/>
      <c r="G24" s="799"/>
      <c r="H24" s="800"/>
      <c r="I24" s="800"/>
      <c r="J24" s="799"/>
      <c r="K24" s="202"/>
      <c r="L24" s="800"/>
      <c r="M24" s="799"/>
    </row>
    <row r="25" spans="1:14" s="253" customFormat="1" ht="15.6" customHeight="1">
      <c r="A25" s="26" t="s">
        <v>825</v>
      </c>
      <c r="B25" s="1164"/>
      <c r="C25" s="1164"/>
      <c r="D25" s="1164"/>
      <c r="E25" s="1164"/>
      <c r="F25" s="1164"/>
      <c r="G25" s="1164"/>
      <c r="H25" s="271"/>
      <c r="I25" s="271"/>
      <c r="J25" s="271"/>
      <c r="K25" s="1164"/>
      <c r="L25" s="1164"/>
      <c r="M25" s="1164"/>
      <c r="N25" s="1164"/>
    </row>
    <row r="26" spans="1:14" s="253" customFormat="1" ht="15.6" customHeight="1">
      <c r="A26" s="191" t="s">
        <v>711</v>
      </c>
      <c r="B26" s="1161"/>
      <c r="C26" s="1161"/>
      <c r="D26" s="1161"/>
      <c r="E26" s="168"/>
      <c r="F26" s="658"/>
      <c r="G26" s="1"/>
      <c r="H26" s="3"/>
      <c r="I26" s="3"/>
      <c r="J26" s="3"/>
      <c r="K26" s="1161"/>
      <c r="L26" s="1161"/>
      <c r="M26" s="1161"/>
      <c r="N26" s="1161"/>
    </row>
    <row r="27" spans="1:14" s="253" customFormat="1" ht="10.9" customHeight="1" thickBot="1">
      <c r="A27" s="1161"/>
      <c r="B27" s="1161"/>
      <c r="C27" s="1161"/>
      <c r="D27" s="1161"/>
      <c r="E27" s="168"/>
      <c r="F27" s="861"/>
      <c r="G27" s="1"/>
      <c r="H27" s="3"/>
      <c r="I27" s="863"/>
      <c r="J27" s="3"/>
      <c r="K27" s="1161"/>
      <c r="L27" s="202" t="s">
        <v>802</v>
      </c>
      <c r="M27" s="1161"/>
      <c r="N27" s="1161"/>
    </row>
    <row r="28" spans="1:14" s="1162" customFormat="1" ht="22.9" customHeight="1" thickBot="1">
      <c r="A28" s="1453"/>
      <c r="B28" s="1443" t="s">
        <v>862</v>
      </c>
      <c r="C28" s="1446"/>
      <c r="D28" s="1447"/>
      <c r="E28" s="1443" t="s">
        <v>847</v>
      </c>
      <c r="F28" s="1446"/>
      <c r="G28" s="1447"/>
      <c r="H28" s="1448" t="s">
        <v>579</v>
      </c>
      <c r="I28" s="1444"/>
      <c r="J28" s="1445"/>
      <c r="K28" s="1449" t="s">
        <v>970</v>
      </c>
      <c r="L28" s="1450"/>
      <c r="M28" s="1451"/>
    </row>
    <row r="29" spans="1:14" s="1162" customFormat="1" ht="22.9" customHeight="1" thickBot="1">
      <c r="A29" s="1454"/>
      <c r="B29" s="487" t="s">
        <v>89</v>
      </c>
      <c r="C29" s="487" t="s">
        <v>88</v>
      </c>
      <c r="D29" s="661" t="s">
        <v>47</v>
      </c>
      <c r="E29" s="487" t="s">
        <v>89</v>
      </c>
      <c r="F29" s="487" t="s">
        <v>88</v>
      </c>
      <c r="G29" s="661" t="s">
        <v>47</v>
      </c>
      <c r="H29" s="487" t="s">
        <v>89</v>
      </c>
      <c r="I29" s="487" t="s">
        <v>88</v>
      </c>
      <c r="J29" s="661" t="s">
        <v>47</v>
      </c>
      <c r="K29" s="487" t="s">
        <v>89</v>
      </c>
      <c r="L29" s="487" t="s">
        <v>88</v>
      </c>
      <c r="M29" s="660" t="s">
        <v>47</v>
      </c>
      <c r="N29" s="660" t="s">
        <v>318</v>
      </c>
    </row>
    <row r="30" spans="1:14" s="1162" customFormat="1" ht="22.9" customHeight="1" thickBot="1">
      <c r="A30" s="1455"/>
      <c r="B30" s="1456">
        <f>(157.7+4.25)/2</f>
        <v>80.974999999999994</v>
      </c>
      <c r="C30" s="487">
        <f>(277.1+6.5)/2</f>
        <v>141.80000000000001</v>
      </c>
      <c r="D30" s="1457">
        <f>SUM(B30:C30)</f>
        <v>222.77500000000001</v>
      </c>
      <c r="E30" s="487">
        <v>8</v>
      </c>
      <c r="F30" s="487">
        <v>10.1</v>
      </c>
      <c r="G30" s="661">
        <f>SUM(E30:F30)</f>
        <v>18.100000000000001</v>
      </c>
      <c r="H30" s="487">
        <v>38</v>
      </c>
      <c r="I30" s="487">
        <v>51</v>
      </c>
      <c r="J30" s="661">
        <f>SUM(H30:I30)</f>
        <v>89</v>
      </c>
      <c r="K30" s="487">
        <v>17.8</v>
      </c>
      <c r="L30" s="487">
        <v>32</v>
      </c>
      <c r="M30" s="660">
        <f>SUM(K30:L30)</f>
        <v>49.8</v>
      </c>
      <c r="N30" s="1458">
        <f>SUM(D30,G30,J30,M30)</f>
        <v>379.67500000000001</v>
      </c>
    </row>
    <row r="31" spans="1:14" s="253" customFormat="1" ht="6" customHeight="1" thickBot="1">
      <c r="A31" s="202"/>
      <c r="B31" s="800"/>
      <c r="C31" s="800"/>
      <c r="D31" s="799"/>
      <c r="E31" s="800"/>
      <c r="F31" s="862"/>
      <c r="G31" s="799"/>
      <c r="H31" s="800"/>
      <c r="I31" s="862"/>
      <c r="J31" s="799"/>
      <c r="K31" s="202"/>
      <c r="L31" s="800"/>
      <c r="M31" s="799"/>
    </row>
    <row r="32" spans="1:14" s="253" customFormat="1" ht="22.9" customHeight="1" thickBot="1">
      <c r="A32" s="202"/>
      <c r="B32" s="800"/>
      <c r="C32" s="800"/>
      <c r="D32" s="799"/>
      <c r="E32" s="1440" t="s">
        <v>440</v>
      </c>
      <c r="F32" s="1441"/>
      <c r="G32" s="1442"/>
      <c r="H32" s="1440" t="s">
        <v>587</v>
      </c>
      <c r="I32" s="1441"/>
      <c r="J32" s="1442"/>
      <c r="K32" s="202"/>
      <c r="L32" s="800"/>
      <c r="M32" s="799"/>
    </row>
    <row r="33" spans="1:20" s="253" customFormat="1" ht="22.9" customHeight="1" thickBot="1">
      <c r="A33" s="202"/>
      <c r="B33" s="800"/>
      <c r="C33" s="800"/>
      <c r="D33" s="799"/>
      <c r="E33" s="487" t="s">
        <v>89</v>
      </c>
      <c r="F33" s="487" t="s">
        <v>88</v>
      </c>
      <c r="G33" s="660" t="s">
        <v>47</v>
      </c>
      <c r="H33" s="487" t="s">
        <v>89</v>
      </c>
      <c r="I33" s="487" t="s">
        <v>88</v>
      </c>
      <c r="J33" s="661" t="s">
        <v>47</v>
      </c>
      <c r="K33" s="660" t="s">
        <v>318</v>
      </c>
      <c r="L33" s="800"/>
      <c r="M33" s="799"/>
    </row>
    <row r="34" spans="1:20" s="253" customFormat="1" ht="22.9" customHeight="1" thickBot="1">
      <c r="A34" s="202"/>
      <c r="B34" s="800"/>
      <c r="C34" s="800"/>
      <c r="D34" s="799"/>
      <c r="E34" s="487">
        <f>14.1+25.6</f>
        <v>39.700000000000003</v>
      </c>
      <c r="F34" s="487">
        <f>14.8+5.5</f>
        <v>20.3</v>
      </c>
      <c r="G34" s="660">
        <f>SUM(E34:F34)</f>
        <v>60</v>
      </c>
      <c r="H34" s="487">
        <v>5.8</v>
      </c>
      <c r="I34" s="487">
        <v>9</v>
      </c>
      <c r="J34" s="661">
        <f>SUM(H34:I34)</f>
        <v>14.8</v>
      </c>
      <c r="K34" s="660">
        <f>SUM(G34,J34)</f>
        <v>74.8</v>
      </c>
      <c r="L34" s="800"/>
      <c r="M34" s="799"/>
    </row>
    <row r="35" spans="1:20" s="1161" customFormat="1" ht="14.65" customHeight="1">
      <c r="A35" s="862"/>
      <c r="B35" s="191"/>
      <c r="C35" s="800"/>
      <c r="D35" s="799"/>
      <c r="E35" s="800"/>
      <c r="F35" s="800"/>
      <c r="G35" s="799"/>
      <c r="H35" s="800"/>
      <c r="I35" s="800"/>
      <c r="J35" s="799"/>
      <c r="K35" s="202"/>
      <c r="L35" s="800"/>
      <c r="M35" s="799"/>
      <c r="N35" s="253"/>
      <c r="R35" s="253"/>
      <c r="S35" s="253"/>
      <c r="T35" s="253"/>
    </row>
    <row r="36" spans="1:20" s="1161" customFormat="1" ht="14.65" customHeight="1">
      <c r="A36" s="862"/>
      <c r="B36" s="191" t="s">
        <v>653</v>
      </c>
      <c r="C36" s="800"/>
      <c r="D36" s="799"/>
      <c r="E36" s="800"/>
      <c r="F36" s="800"/>
      <c r="G36" s="799"/>
      <c r="H36" s="800"/>
      <c r="I36" s="800"/>
      <c r="J36" s="799"/>
      <c r="K36" s="202"/>
      <c r="L36" s="800"/>
      <c r="M36" s="799"/>
      <c r="N36" s="253"/>
      <c r="R36" s="253"/>
      <c r="S36" s="253"/>
      <c r="T36" s="253"/>
    </row>
    <row r="37" spans="1:20" ht="18" customHeight="1" thickBot="1">
      <c r="A37" s="1161"/>
      <c r="B37" s="58"/>
      <c r="C37" s="1161"/>
      <c r="D37" s="1452" t="s">
        <v>1075</v>
      </c>
      <c r="E37" s="1452"/>
      <c r="F37" s="1029"/>
      <c r="G37" s="178"/>
      <c r="H37" s="1161"/>
      <c r="I37" s="1452" t="s">
        <v>965</v>
      </c>
      <c r="J37" s="1452"/>
      <c r="K37" s="1029"/>
      <c r="L37" s="1161"/>
      <c r="M37" s="1161"/>
      <c r="N37" s="1452" t="s">
        <v>863</v>
      </c>
      <c r="O37" s="1452"/>
      <c r="P37" s="1029"/>
      <c r="Q37" s="1161"/>
      <c r="R37" s="178"/>
      <c r="S37" s="178"/>
      <c r="T37" s="178"/>
    </row>
    <row r="38" spans="1:20" ht="19.5" thickBot="1">
      <c r="A38" s="252"/>
      <c r="B38" s="253"/>
      <c r="C38" s="253"/>
      <c r="D38" s="487" t="s">
        <v>89</v>
      </c>
      <c r="E38" s="487" t="s">
        <v>88</v>
      </c>
      <c r="F38" s="660" t="s">
        <v>47</v>
      </c>
      <c r="G38" s="253"/>
      <c r="H38" s="253"/>
      <c r="I38" s="487" t="s">
        <v>89</v>
      </c>
      <c r="J38" s="487" t="s">
        <v>88</v>
      </c>
      <c r="K38" s="660" t="s">
        <v>47</v>
      </c>
      <c r="L38" s="1161"/>
      <c r="M38" s="253"/>
      <c r="N38" s="487" t="s">
        <v>89</v>
      </c>
      <c r="O38" s="487" t="s">
        <v>88</v>
      </c>
      <c r="P38" s="660" t="s">
        <v>47</v>
      </c>
      <c r="Q38" s="1161"/>
      <c r="R38" s="253"/>
      <c r="S38" s="253"/>
      <c r="T38" s="253"/>
    </row>
    <row r="39" spans="1:20" ht="12" thickBot="1">
      <c r="A39" s="1161"/>
      <c r="B39" s="253"/>
      <c r="C39" s="659" t="s">
        <v>269</v>
      </c>
      <c r="D39" s="1334"/>
      <c r="E39" s="1334"/>
      <c r="F39" s="660">
        <f>SUM(D39:E39)</f>
        <v>0</v>
      </c>
      <c r="G39" s="253"/>
      <c r="H39" s="659" t="s">
        <v>269</v>
      </c>
      <c r="I39" s="487">
        <v>2</v>
      </c>
      <c r="J39" s="487">
        <v>2</v>
      </c>
      <c r="K39" s="660">
        <f>SUM(I39:J39)</f>
        <v>4</v>
      </c>
      <c r="L39" s="1161"/>
      <c r="M39" s="659" t="s">
        <v>269</v>
      </c>
      <c r="N39" s="487">
        <v>2</v>
      </c>
      <c r="O39" s="487">
        <v>1</v>
      </c>
      <c r="P39" s="660">
        <f>SUM(N39:O39)</f>
        <v>3</v>
      </c>
      <c r="Q39" s="1161"/>
      <c r="R39" s="253"/>
      <c r="S39" s="253"/>
      <c r="T39" s="253"/>
    </row>
    <row r="40" spans="1:20" s="178" customFormat="1" ht="12" customHeight="1" thickBot="1">
      <c r="A40" s="1161"/>
      <c r="B40" s="253"/>
      <c r="C40" s="659" t="s">
        <v>268</v>
      </c>
      <c r="D40" s="1334"/>
      <c r="E40" s="1334"/>
      <c r="F40" s="660">
        <f>SUM(D40:E40)</f>
        <v>0</v>
      </c>
      <c r="G40" s="253"/>
      <c r="H40" s="659" t="s">
        <v>268</v>
      </c>
      <c r="I40" s="487">
        <v>1</v>
      </c>
      <c r="J40" s="487">
        <v>2</v>
      </c>
      <c r="K40" s="660">
        <f>SUM(I40:J40)</f>
        <v>3</v>
      </c>
      <c r="M40" s="659" t="s">
        <v>268</v>
      </c>
      <c r="N40" s="487">
        <v>1</v>
      </c>
      <c r="O40" s="487">
        <v>1</v>
      </c>
      <c r="P40" s="660">
        <f>SUM(N40:O40)</f>
        <v>2</v>
      </c>
      <c r="R40" s="253"/>
      <c r="S40" s="253"/>
      <c r="T40" s="253"/>
    </row>
    <row r="41" spans="1:20" s="178" customFormat="1" ht="12" thickBot="1">
      <c r="A41" s="1161"/>
      <c r="B41" s="253"/>
      <c r="C41" s="659" t="s">
        <v>127</v>
      </c>
      <c r="D41" s="1334"/>
      <c r="E41" s="1334"/>
      <c r="F41" s="660">
        <f>SUM(D41:E41)</f>
        <v>0</v>
      </c>
      <c r="G41" s="253"/>
      <c r="H41" s="659" t="s">
        <v>127</v>
      </c>
      <c r="I41" s="487"/>
      <c r="J41" s="487">
        <v>3</v>
      </c>
      <c r="K41" s="660">
        <f>SUM(I41:J41)</f>
        <v>3</v>
      </c>
      <c r="M41" s="659" t="s">
        <v>127</v>
      </c>
      <c r="N41" s="487"/>
      <c r="O41" s="487">
        <v>2</v>
      </c>
      <c r="P41" s="660">
        <f>SUM(N41:O41)</f>
        <v>2</v>
      </c>
      <c r="R41" s="253"/>
      <c r="S41" s="253"/>
      <c r="T41" s="253"/>
    </row>
    <row r="42" spans="1:20" s="178" customFormat="1" ht="12" thickBot="1">
      <c r="A42" s="1161"/>
      <c r="B42" s="253"/>
      <c r="C42" s="662" t="s">
        <v>38</v>
      </c>
      <c r="D42" s="660">
        <f>SUM(D39:D41)</f>
        <v>0</v>
      </c>
      <c r="E42" s="660">
        <f>SUM(E39:E41)</f>
        <v>0</v>
      </c>
      <c r="F42" s="660">
        <f>SUM(F39:F41)</f>
        <v>0</v>
      </c>
      <c r="G42" s="253"/>
      <c r="H42" s="662" t="s">
        <v>38</v>
      </c>
      <c r="I42" s="660">
        <f>SUM(I39:I41)</f>
        <v>3</v>
      </c>
      <c r="J42" s="660">
        <f>SUM(J39:J41)</f>
        <v>7</v>
      </c>
      <c r="K42" s="660">
        <f>SUM(K39:K41)</f>
        <v>10</v>
      </c>
      <c r="M42" s="662" t="s">
        <v>38</v>
      </c>
      <c r="N42" s="660">
        <f>SUM(N39:N41)</f>
        <v>3</v>
      </c>
      <c r="O42" s="660">
        <f>SUM(O39:O41)</f>
        <v>4</v>
      </c>
      <c r="P42" s="660">
        <f>SUM(P39:P41)</f>
        <v>7</v>
      </c>
      <c r="R42" s="253"/>
      <c r="S42" s="253"/>
      <c r="T42" s="253"/>
    </row>
    <row r="43" spans="1:20" s="178" customFormat="1">
      <c r="A43" s="1161"/>
      <c r="B43" s="253"/>
      <c r="C43" s="253"/>
      <c r="D43" s="253"/>
      <c r="E43" s="253"/>
      <c r="F43" s="253"/>
      <c r="G43" s="253"/>
      <c r="M43" s="1161"/>
      <c r="N43" s="1161"/>
      <c r="O43" s="1161"/>
      <c r="P43" s="1161"/>
      <c r="R43" s="253"/>
      <c r="S43" s="253"/>
      <c r="T43" s="253"/>
    </row>
    <row r="45" spans="1:20" ht="15.75">
      <c r="A45" s="1161"/>
      <c r="B45" s="1161"/>
      <c r="C45" s="191" t="s">
        <v>580</v>
      </c>
      <c r="D45" s="1161"/>
      <c r="E45" s="1161"/>
      <c r="F45" s="1161"/>
      <c r="G45" s="168"/>
      <c r="K45" s="1161"/>
      <c r="L45" s="253"/>
      <c r="M45" s="1161"/>
      <c r="N45" s="1161"/>
      <c r="O45" s="1161"/>
      <c r="P45" s="1161"/>
      <c r="Q45" s="1161"/>
      <c r="R45" s="1161"/>
      <c r="S45" s="1161"/>
    </row>
    <row r="50" spans="3:16" ht="12" thickBot="1">
      <c r="C50" s="1030" t="s">
        <v>1075</v>
      </c>
      <c r="D50" s="951"/>
      <c r="E50" s="951"/>
      <c r="F50" s="1030"/>
      <c r="G50" s="178"/>
      <c r="H50" s="1030" t="s">
        <v>965</v>
      </c>
      <c r="I50" s="951"/>
      <c r="J50" s="951"/>
      <c r="K50" s="1030"/>
      <c r="L50" s="178"/>
      <c r="M50" s="1030" t="s">
        <v>863</v>
      </c>
      <c r="N50" s="951"/>
      <c r="O50" s="951"/>
      <c r="P50" s="1030"/>
    </row>
    <row r="51" spans="3:16" ht="12" thickBot="1">
      <c r="C51" s="139"/>
      <c r="D51" s="487" t="s">
        <v>89</v>
      </c>
      <c r="E51" s="487" t="s">
        <v>88</v>
      </c>
      <c r="F51" s="661" t="s">
        <v>47</v>
      </c>
      <c r="G51" s="253"/>
      <c r="H51" s="139"/>
      <c r="I51" s="487" t="s">
        <v>89</v>
      </c>
      <c r="J51" s="487" t="s">
        <v>88</v>
      </c>
      <c r="K51" s="661" t="s">
        <v>47</v>
      </c>
      <c r="L51" s="253"/>
      <c r="M51" s="139"/>
      <c r="N51" s="487" t="s">
        <v>89</v>
      </c>
      <c r="O51" s="487" t="s">
        <v>88</v>
      </c>
      <c r="P51" s="661" t="s">
        <v>47</v>
      </c>
    </row>
    <row r="52" spans="3:16" ht="12" thickBot="1">
      <c r="C52" s="659" t="s">
        <v>864</v>
      </c>
      <c r="D52" s="1334">
        <v>3</v>
      </c>
      <c r="E52" s="1334">
        <v>2</v>
      </c>
      <c r="F52" s="660">
        <f>SUM(D52:E52)</f>
        <v>5</v>
      </c>
      <c r="G52" s="253"/>
      <c r="H52" s="659" t="s">
        <v>864</v>
      </c>
      <c r="I52" s="487">
        <v>3</v>
      </c>
      <c r="J52" s="487">
        <v>2</v>
      </c>
      <c r="K52" s="660">
        <f>SUM(I52:J52)</f>
        <v>5</v>
      </c>
      <c r="L52" s="253"/>
      <c r="M52" s="659" t="s">
        <v>268</v>
      </c>
      <c r="N52" s="487"/>
      <c r="O52" s="487">
        <v>3</v>
      </c>
      <c r="P52" s="660">
        <f>SUM(N52:O52)</f>
        <v>3</v>
      </c>
    </row>
    <row r="53" spans="3:16" ht="12" thickBot="1">
      <c r="C53" s="659" t="s">
        <v>268</v>
      </c>
      <c r="D53" s="1334"/>
      <c r="E53" s="1334">
        <v>3</v>
      </c>
      <c r="F53" s="660">
        <f>SUM(D53:E53)</f>
        <v>3</v>
      </c>
      <c r="G53" s="253"/>
      <c r="H53" s="659" t="s">
        <v>268</v>
      </c>
      <c r="I53" s="487"/>
      <c r="J53" s="487">
        <v>3</v>
      </c>
      <c r="K53" s="660">
        <f>SUM(I53:J53)</f>
        <v>3</v>
      </c>
      <c r="L53" s="253"/>
      <c r="M53" s="659" t="s">
        <v>127</v>
      </c>
      <c r="N53" s="487">
        <v>4</v>
      </c>
      <c r="O53" s="487">
        <v>6</v>
      </c>
      <c r="P53" s="660">
        <f>SUM(N53:O53)</f>
        <v>10</v>
      </c>
    </row>
    <row r="54" spans="3:16" ht="12" thickBot="1">
      <c r="C54" s="659" t="s">
        <v>127</v>
      </c>
      <c r="D54" s="1334">
        <v>1</v>
      </c>
      <c r="E54" s="1334">
        <v>6</v>
      </c>
      <c r="F54" s="660">
        <f>SUM(D54:E54)</f>
        <v>7</v>
      </c>
      <c r="G54" s="253"/>
      <c r="H54" s="659" t="s">
        <v>127</v>
      </c>
      <c r="I54" s="487">
        <v>1</v>
      </c>
      <c r="J54" s="487">
        <v>2</v>
      </c>
      <c r="K54" s="660">
        <f>SUM(I54:J54)</f>
        <v>3</v>
      </c>
      <c r="L54" s="253"/>
      <c r="M54" s="1159" t="s">
        <v>347</v>
      </c>
      <c r="N54" s="487">
        <v>1</v>
      </c>
      <c r="O54" s="487">
        <v>4</v>
      </c>
      <c r="P54" s="660">
        <f>SUM(N54:O54)</f>
        <v>5</v>
      </c>
    </row>
    <row r="55" spans="3:16" ht="12" thickBot="1">
      <c r="C55" s="872" t="s">
        <v>347</v>
      </c>
      <c r="D55" s="1334">
        <v>2</v>
      </c>
      <c r="E55" s="1334">
        <v>4</v>
      </c>
      <c r="F55" s="660">
        <f>SUM(D55:E55)</f>
        <v>6</v>
      </c>
      <c r="G55" s="253"/>
      <c r="H55" s="1159" t="s">
        <v>347</v>
      </c>
      <c r="I55" s="487">
        <v>2</v>
      </c>
      <c r="J55" s="487">
        <v>4</v>
      </c>
      <c r="K55" s="660">
        <f>SUM(I55:J55)</f>
        <v>6</v>
      </c>
      <c r="L55" s="253"/>
      <c r="M55" s="662" t="s">
        <v>38</v>
      </c>
      <c r="N55" s="660">
        <f>SUM(N52:N54)</f>
        <v>5</v>
      </c>
      <c r="O55" s="660">
        <f>SUM(O52:O54)</f>
        <v>13</v>
      </c>
      <c r="P55" s="660">
        <f>SUM(P52:P54)</f>
        <v>18</v>
      </c>
    </row>
    <row r="56" spans="3:16" ht="12" thickBot="1">
      <c r="C56" s="662" t="s">
        <v>38</v>
      </c>
      <c r="D56" s="660">
        <f>SUM(D52:D55)</f>
        <v>6</v>
      </c>
      <c r="E56" s="660">
        <f>SUM(E52:E55)</f>
        <v>15</v>
      </c>
      <c r="F56" s="660">
        <f>SUM(F52:F55)</f>
        <v>21</v>
      </c>
      <c r="G56" s="895"/>
      <c r="H56" s="662" t="s">
        <v>38</v>
      </c>
      <c r="I56" s="660">
        <f>SUM(I52:I55)</f>
        <v>6</v>
      </c>
      <c r="J56" s="660">
        <f>SUM(J52:J55)</f>
        <v>11</v>
      </c>
      <c r="K56" s="660">
        <f>SUM(K52:K55)</f>
        <v>17</v>
      </c>
      <c r="L56" s="253"/>
    </row>
    <row r="57" spans="3:16" ht="11.25">
      <c r="C57" s="253"/>
      <c r="D57" s="253"/>
      <c r="E57" s="653"/>
      <c r="F57" s="253"/>
    </row>
    <row r="58" spans="3:16" ht="15.75">
      <c r="C58" s="191" t="s">
        <v>654</v>
      </c>
      <c r="G58" s="168"/>
    </row>
    <row r="59" spans="3:16" ht="12" thickBot="1">
      <c r="C59" s="1030" t="s">
        <v>1075</v>
      </c>
      <c r="D59" s="951"/>
      <c r="E59" s="951"/>
      <c r="F59" s="1030"/>
      <c r="G59" s="178"/>
      <c r="H59" s="1030" t="s">
        <v>965</v>
      </c>
      <c r="I59" s="951"/>
      <c r="J59" s="951"/>
      <c r="K59" s="1030"/>
      <c r="L59" s="178"/>
      <c r="M59" s="1030" t="s">
        <v>863</v>
      </c>
      <c r="N59" s="951"/>
      <c r="O59" s="951"/>
      <c r="P59" s="1030"/>
    </row>
    <row r="60" spans="3:16" ht="12" thickBot="1">
      <c r="C60" s="333" t="s">
        <v>581</v>
      </c>
      <c r="D60" s="270" t="s">
        <v>89</v>
      </c>
      <c r="E60" s="270" t="s">
        <v>88</v>
      </c>
      <c r="F60" s="661" t="s">
        <v>582</v>
      </c>
      <c r="H60" s="333" t="s">
        <v>581</v>
      </c>
      <c r="I60" s="270" t="s">
        <v>89</v>
      </c>
      <c r="J60" s="270" t="s">
        <v>88</v>
      </c>
      <c r="K60" s="661" t="s">
        <v>582</v>
      </c>
      <c r="M60" s="333" t="s">
        <v>581</v>
      </c>
      <c r="N60" s="270" t="s">
        <v>89</v>
      </c>
      <c r="O60" s="270" t="s">
        <v>88</v>
      </c>
      <c r="P60" s="661" t="s">
        <v>582</v>
      </c>
    </row>
    <row r="61" spans="3:16" ht="12" thickBot="1">
      <c r="C61" s="659" t="s">
        <v>1083</v>
      </c>
      <c r="D61" s="1334"/>
      <c r="E61" s="1334">
        <v>1</v>
      </c>
      <c r="F61" s="660">
        <f>SUM(D61:E61)</f>
        <v>1</v>
      </c>
      <c r="H61" s="659" t="s">
        <v>585</v>
      </c>
      <c r="I61" s="487"/>
      <c r="J61" s="487">
        <v>1</v>
      </c>
      <c r="K61" s="660">
        <f>SUM(I61:J61)</f>
        <v>1</v>
      </c>
      <c r="M61" s="659" t="s">
        <v>586</v>
      </c>
      <c r="N61" s="487">
        <v>1</v>
      </c>
      <c r="O61" s="487"/>
      <c r="P61" s="660">
        <f>SUM(N61:O61)</f>
        <v>1</v>
      </c>
    </row>
    <row r="62" spans="3:16" ht="12" thickBot="1">
      <c r="C62" s="659" t="s">
        <v>1084</v>
      </c>
      <c r="D62" s="1334"/>
      <c r="E62" s="1334">
        <v>3</v>
      </c>
      <c r="F62" s="660">
        <f t="shared" ref="F62:F68" si="0">SUM(D62:E62)</f>
        <v>3</v>
      </c>
      <c r="H62" s="659" t="s">
        <v>968</v>
      </c>
      <c r="I62" s="487">
        <v>1</v>
      </c>
      <c r="J62" s="487">
        <v>1</v>
      </c>
      <c r="K62" s="660">
        <f t="shared" ref="K62:K63" si="1">SUM(I62:J62)</f>
        <v>2</v>
      </c>
      <c r="M62" s="659" t="s">
        <v>840</v>
      </c>
      <c r="N62" s="487"/>
      <c r="O62" s="487">
        <v>1</v>
      </c>
      <c r="P62" s="660">
        <f t="shared" ref="P62:P66" si="2">SUM(N62:O62)</f>
        <v>1</v>
      </c>
    </row>
    <row r="63" spans="3:16" ht="12" thickBot="1">
      <c r="C63" s="659" t="s">
        <v>1085</v>
      </c>
      <c r="D63" s="1334">
        <v>2</v>
      </c>
      <c r="E63" s="1334">
        <v>2</v>
      </c>
      <c r="F63" s="660">
        <f t="shared" si="0"/>
        <v>4</v>
      </c>
      <c r="H63" s="662" t="s">
        <v>38</v>
      </c>
      <c r="I63" s="660">
        <f>SUM(I61:I62)</f>
        <v>1</v>
      </c>
      <c r="J63" s="660">
        <f>SUM(J61:J62)</f>
        <v>2</v>
      </c>
      <c r="K63" s="660">
        <f t="shared" si="1"/>
        <v>3</v>
      </c>
      <c r="M63" s="659" t="s">
        <v>583</v>
      </c>
      <c r="N63" s="487"/>
      <c r="O63" s="487">
        <v>2</v>
      </c>
      <c r="P63" s="660">
        <f t="shared" si="2"/>
        <v>2</v>
      </c>
    </row>
    <row r="64" spans="3:16" ht="12" thickBot="1">
      <c r="C64" s="659" t="s">
        <v>584</v>
      </c>
      <c r="D64" s="1334"/>
      <c r="E64" s="1334">
        <v>2</v>
      </c>
      <c r="F64" s="660">
        <f t="shared" si="0"/>
        <v>2</v>
      </c>
      <c r="M64" s="659" t="s">
        <v>584</v>
      </c>
      <c r="N64" s="487">
        <v>2</v>
      </c>
      <c r="O64" s="487">
        <v>4</v>
      </c>
      <c r="P64" s="660">
        <f t="shared" si="2"/>
        <v>6</v>
      </c>
    </row>
    <row r="65" spans="3:16" ht="12" thickBot="1">
      <c r="C65" s="659" t="s">
        <v>585</v>
      </c>
      <c r="D65" s="1334">
        <v>1</v>
      </c>
      <c r="E65" s="1334">
        <v>4</v>
      </c>
      <c r="F65" s="660">
        <f t="shared" si="0"/>
        <v>5</v>
      </c>
      <c r="M65" s="659" t="s">
        <v>585</v>
      </c>
      <c r="N65" s="487">
        <v>1</v>
      </c>
      <c r="O65" s="487">
        <v>1</v>
      </c>
      <c r="P65" s="660">
        <f t="shared" si="2"/>
        <v>2</v>
      </c>
    </row>
    <row r="66" spans="3:16" ht="12" thickBot="1">
      <c r="C66" s="659" t="s">
        <v>1086</v>
      </c>
      <c r="D66" s="1334"/>
      <c r="E66" s="1334">
        <v>1</v>
      </c>
      <c r="F66" s="660">
        <f t="shared" si="0"/>
        <v>1</v>
      </c>
      <c r="M66" s="659" t="s">
        <v>733</v>
      </c>
      <c r="N66" s="487"/>
      <c r="O66" s="487">
        <v>1</v>
      </c>
      <c r="P66" s="660">
        <f t="shared" si="2"/>
        <v>1</v>
      </c>
    </row>
    <row r="67" spans="3:16" ht="12" thickBot="1">
      <c r="C67" s="659" t="s">
        <v>1087</v>
      </c>
      <c r="D67" s="1334"/>
      <c r="E67" s="1334">
        <v>1</v>
      </c>
      <c r="F67" s="660">
        <f t="shared" si="0"/>
        <v>1</v>
      </c>
      <c r="M67" s="662" t="s">
        <v>38</v>
      </c>
      <c r="N67" s="660">
        <f>SUM(N61:N66)</f>
        <v>4</v>
      </c>
      <c r="O67" s="660">
        <f>SUM(O61:O66)</f>
        <v>9</v>
      </c>
      <c r="P67" s="660">
        <f>SUM(P61:P66)</f>
        <v>13</v>
      </c>
    </row>
    <row r="68" spans="3:16" ht="12" thickBot="1">
      <c r="C68" s="659" t="s">
        <v>1088</v>
      </c>
      <c r="D68" s="1334">
        <v>1</v>
      </c>
      <c r="E68" s="1334"/>
      <c r="F68" s="660">
        <f t="shared" si="0"/>
        <v>1</v>
      </c>
    </row>
    <row r="69" spans="3:16" ht="12" thickBot="1">
      <c r="C69" s="662" t="s">
        <v>38</v>
      </c>
      <c r="D69" s="660">
        <f>SUM(D61:D63)</f>
        <v>2</v>
      </c>
      <c r="E69" s="660">
        <f>SUM(E61:E67)</f>
        <v>14</v>
      </c>
      <c r="F69" s="660">
        <f>SUM(D69:E69)</f>
        <v>16</v>
      </c>
    </row>
  </sheetData>
  <mergeCells count="14">
    <mergeCell ref="E21:G21"/>
    <mergeCell ref="H21:J21"/>
    <mergeCell ref="E6:G6"/>
    <mergeCell ref="B6:D6"/>
    <mergeCell ref="H6:J6"/>
    <mergeCell ref="K6:M6"/>
    <mergeCell ref="H10:J10"/>
    <mergeCell ref="E10:G10"/>
    <mergeCell ref="A6:A8"/>
    <mergeCell ref="A17:A19"/>
    <mergeCell ref="B17:D17"/>
    <mergeCell ref="E17:G17"/>
    <mergeCell ref="H17:J17"/>
    <mergeCell ref="K17:M17"/>
  </mergeCells>
  <pageMargins left="0.11811023622047245" right="0.11811023622047245" top="0.35433070866141736" bottom="0.35433070866141736" header="0.31496062992125984" footer="0.31496062992125984"/>
  <pageSetup paperSize="9" scale="86"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C56"/>
  <sheetViews>
    <sheetView showGridLines="0" zoomScaleNormal="110" zoomScaleSheetLayoutView="110" zoomScalePageLayoutView="110" workbookViewId="0">
      <selection activeCell="E53" sqref="E53"/>
    </sheetView>
  </sheetViews>
  <sheetFormatPr baseColWidth="10" defaultColWidth="11.5" defaultRowHeight="10.5"/>
  <cols>
    <col min="1" max="1" width="36.5" style="1" customWidth="1"/>
    <col min="2" max="2" width="9.6640625" style="1" customWidth="1"/>
    <col min="3" max="3" width="2.33203125" style="1" customWidth="1"/>
    <col min="4" max="4" width="9.6640625" style="1" bestFit="1" customWidth="1"/>
    <col min="5" max="5" width="5.33203125" style="2" customWidth="1"/>
    <col min="6" max="6" width="9.6640625" style="1" customWidth="1"/>
    <col min="7" max="7" width="2.5" style="1" customWidth="1"/>
    <col min="8" max="8" width="9.6640625" style="1" bestFit="1" customWidth="1"/>
    <col min="9" max="9" width="4.6640625" style="3" customWidth="1"/>
    <col min="10" max="10" width="11.5" style="1"/>
    <col min="11" max="11" width="2.33203125" style="1" customWidth="1"/>
    <col min="12" max="14" width="11.5" style="1"/>
    <col min="15" max="15" width="22.33203125" style="1" customWidth="1"/>
    <col min="16" max="16" width="11.33203125" style="1" customWidth="1"/>
    <col min="17" max="16384" width="11.5" style="1"/>
  </cols>
  <sheetData>
    <row r="1" spans="1:26" ht="18.75" customHeight="1">
      <c r="A1" s="174" t="s">
        <v>860</v>
      </c>
      <c r="B1" s="5"/>
      <c r="C1" s="5"/>
      <c r="D1" s="5"/>
      <c r="F1" s="5"/>
      <c r="G1" s="5"/>
      <c r="H1" s="5"/>
      <c r="I1" s="2"/>
      <c r="J1" s="5"/>
      <c r="K1" s="5"/>
      <c r="L1" s="5"/>
      <c r="M1" s="5"/>
      <c r="N1" s="5"/>
      <c r="O1" s="5"/>
    </row>
    <row r="2" spans="1:26" ht="6.75" customHeight="1">
      <c r="A2" s="31"/>
    </row>
    <row r="3" spans="1:26" ht="11.25">
      <c r="A3" s="26" t="s">
        <v>1005</v>
      </c>
    </row>
    <row r="4" spans="1:26" ht="24.75" customHeight="1">
      <c r="A4" s="247"/>
      <c r="B4" s="33" t="s">
        <v>86</v>
      </c>
      <c r="C4" s="33"/>
      <c r="D4" s="33" t="s">
        <v>94</v>
      </c>
      <c r="E4" s="33"/>
      <c r="F4" s="33" t="s">
        <v>86</v>
      </c>
      <c r="G4" s="33"/>
      <c r="H4" s="33" t="s">
        <v>94</v>
      </c>
      <c r="I4" s="33"/>
      <c r="J4" s="33" t="s">
        <v>86</v>
      </c>
      <c r="K4" s="33"/>
      <c r="L4" s="33" t="s">
        <v>94</v>
      </c>
      <c r="M4" s="33"/>
      <c r="O4" s="313">
        <f>L28/L36</f>
        <v>0.66449511400651462</v>
      </c>
    </row>
    <row r="5" spans="1:26" ht="12">
      <c r="A5" s="233" t="s">
        <v>639</v>
      </c>
      <c r="B5" s="1599">
        <v>44196</v>
      </c>
      <c r="C5" s="1600"/>
      <c r="D5" s="1600"/>
      <c r="E5" s="34"/>
      <c r="F5" s="1599">
        <v>44561</v>
      </c>
      <c r="G5" s="1600"/>
      <c r="H5" s="1600"/>
      <c r="I5" s="1096"/>
      <c r="J5" s="1599">
        <v>44926</v>
      </c>
      <c r="K5" s="1600"/>
      <c r="L5" s="1600"/>
      <c r="M5" s="233"/>
      <c r="O5" s="313">
        <f>L34/L36</f>
        <v>0.33550488599348532</v>
      </c>
      <c r="U5" s="847"/>
      <c r="V5" s="594"/>
      <c r="W5" s="594"/>
      <c r="X5" s="594"/>
    </row>
    <row r="6" spans="1:26" ht="12">
      <c r="A6" s="35" t="s">
        <v>19</v>
      </c>
      <c r="B6" s="36">
        <v>11.7</v>
      </c>
      <c r="C6" s="37"/>
      <c r="D6" s="36">
        <v>12</v>
      </c>
      <c r="E6" s="37"/>
      <c r="F6" s="36">
        <v>12.600000000000001</v>
      </c>
      <c r="G6" s="37"/>
      <c r="H6" s="36">
        <v>13</v>
      </c>
      <c r="I6" s="37"/>
      <c r="J6" s="1248">
        <v>11.3</v>
      </c>
      <c r="K6" s="939"/>
      <c r="L6" s="1248">
        <v>12</v>
      </c>
      <c r="M6" s="37"/>
      <c r="O6" s="7"/>
      <c r="U6" s="847"/>
      <c r="V6" s="594"/>
      <c r="W6" s="594"/>
      <c r="X6" s="594"/>
    </row>
    <row r="7" spans="1:26" ht="12">
      <c r="A7" s="35" t="s">
        <v>18</v>
      </c>
      <c r="B7" s="36">
        <v>67.5</v>
      </c>
      <c r="C7" s="37"/>
      <c r="D7" s="36">
        <v>71</v>
      </c>
      <c r="E7" s="37"/>
      <c r="F7" s="36">
        <v>66.5</v>
      </c>
      <c r="G7" s="37"/>
      <c r="H7" s="36">
        <v>69</v>
      </c>
      <c r="I7" s="37"/>
      <c r="J7" s="1248">
        <v>64.8</v>
      </c>
      <c r="K7" s="939"/>
      <c r="L7" s="1248">
        <v>67</v>
      </c>
      <c r="M7" s="37"/>
      <c r="U7" s="847"/>
      <c r="V7" s="594"/>
      <c r="W7" s="594"/>
      <c r="X7" s="594"/>
    </row>
    <row r="8" spans="1:26" ht="12">
      <c r="A8" s="35" t="s">
        <v>17</v>
      </c>
      <c r="B8" s="36">
        <v>23.4</v>
      </c>
      <c r="C8" s="37"/>
      <c r="D8" s="36">
        <v>24</v>
      </c>
      <c r="E8" s="37"/>
      <c r="F8" s="36">
        <v>22.3</v>
      </c>
      <c r="G8" s="37"/>
      <c r="H8" s="36">
        <v>23</v>
      </c>
      <c r="I8" s="37"/>
      <c r="J8" s="1248">
        <v>25.2</v>
      </c>
      <c r="K8" s="939"/>
      <c r="L8" s="1248">
        <v>26</v>
      </c>
      <c r="M8" s="37"/>
      <c r="O8" s="7"/>
      <c r="U8" s="847"/>
      <c r="V8" s="594"/>
      <c r="W8" s="594"/>
      <c r="X8" s="594"/>
    </row>
    <row r="9" spans="1:26" ht="12">
      <c r="A9" s="35" t="s">
        <v>16</v>
      </c>
      <c r="B9" s="36">
        <v>96.2</v>
      </c>
      <c r="C9" s="37"/>
      <c r="D9" s="36">
        <v>100</v>
      </c>
      <c r="E9" s="37"/>
      <c r="F9" s="36">
        <v>97.899999999999991</v>
      </c>
      <c r="G9" s="37"/>
      <c r="H9" s="36">
        <v>102</v>
      </c>
      <c r="I9" s="37"/>
      <c r="J9" s="1248">
        <v>97.7</v>
      </c>
      <c r="K9" s="939"/>
      <c r="L9" s="1248">
        <v>102</v>
      </c>
      <c r="M9" s="37"/>
      <c r="O9" s="1">
        <v>78</v>
      </c>
      <c r="U9" s="56"/>
      <c r="V9" s="56"/>
      <c r="W9" s="56"/>
      <c r="X9" s="594"/>
    </row>
    <row r="10" spans="1:26" ht="12">
      <c r="A10" s="38" t="s">
        <v>15</v>
      </c>
      <c r="B10" s="36">
        <v>86.7</v>
      </c>
      <c r="C10" s="37"/>
      <c r="D10" s="36">
        <v>90</v>
      </c>
      <c r="E10" s="37"/>
      <c r="F10" s="36">
        <v>82.7</v>
      </c>
      <c r="G10" s="37"/>
      <c r="H10" s="36">
        <v>85</v>
      </c>
      <c r="I10" s="37"/>
      <c r="J10" s="1248">
        <v>79.400000000000006</v>
      </c>
      <c r="K10" s="939"/>
      <c r="L10" s="1248">
        <v>83</v>
      </c>
      <c r="M10" s="37"/>
      <c r="U10" s="56"/>
      <c r="V10" s="56"/>
      <c r="W10" s="56"/>
      <c r="X10" s="594"/>
    </row>
    <row r="11" spans="1:26" ht="12">
      <c r="A11" s="51" t="s">
        <v>14</v>
      </c>
      <c r="B11" s="53">
        <f>SUM(B6:B10)</f>
        <v>285.5</v>
      </c>
      <c r="C11" s="53"/>
      <c r="D11" s="53">
        <f>SUM(D6:D10)</f>
        <v>297</v>
      </c>
      <c r="E11" s="53"/>
      <c r="F11" s="53">
        <f>SUM(F6:F10)</f>
        <v>282</v>
      </c>
      <c r="G11" s="53"/>
      <c r="H11" s="53">
        <f>SUM(H6:H10)</f>
        <v>292</v>
      </c>
      <c r="I11" s="53"/>
      <c r="J11" s="53">
        <f>SUM(J6:J10)</f>
        <v>278.39999999999998</v>
      </c>
      <c r="K11" s="53"/>
      <c r="L11" s="839">
        <f>SUM(L6:L10)</f>
        <v>290</v>
      </c>
      <c r="M11" s="50"/>
      <c r="U11" s="56"/>
      <c r="V11" s="56"/>
      <c r="W11" s="56"/>
      <c r="X11" s="594"/>
    </row>
    <row r="12" spans="1:26" ht="12">
      <c r="A12" s="40" t="s">
        <v>12</v>
      </c>
      <c r="B12" s="36">
        <v>1</v>
      </c>
      <c r="C12" s="41"/>
      <c r="D12" s="36">
        <v>1</v>
      </c>
      <c r="E12" s="37"/>
      <c r="F12" s="36">
        <v>1</v>
      </c>
      <c r="G12" s="41"/>
      <c r="H12" s="36">
        <v>1</v>
      </c>
      <c r="I12" s="37"/>
      <c r="J12" s="1248">
        <v>1</v>
      </c>
      <c r="K12" s="896"/>
      <c r="L12" s="1248">
        <v>1</v>
      </c>
      <c r="M12" s="37"/>
      <c r="U12" s="56"/>
      <c r="V12" s="56"/>
      <c r="W12" s="56"/>
      <c r="X12" s="594"/>
    </row>
    <row r="13" spans="1:26" ht="12">
      <c r="A13" s="42" t="s">
        <v>11</v>
      </c>
      <c r="B13" s="36">
        <v>1</v>
      </c>
      <c r="C13" s="41"/>
      <c r="D13" s="36">
        <v>1</v>
      </c>
      <c r="E13" s="37"/>
      <c r="F13" s="36">
        <v>1</v>
      </c>
      <c r="G13" s="41"/>
      <c r="H13" s="36">
        <v>1</v>
      </c>
      <c r="I13" s="37"/>
      <c r="J13" s="1248">
        <v>1</v>
      </c>
      <c r="K13" s="896"/>
      <c r="L13" s="1248">
        <v>1</v>
      </c>
      <c r="M13" s="37"/>
      <c r="U13" s="56"/>
      <c r="V13" s="56"/>
      <c r="W13" s="56"/>
      <c r="X13" s="594"/>
      <c r="Z13" s="414"/>
    </row>
    <row r="14" spans="1:26" ht="12">
      <c r="A14" s="42" t="s">
        <v>539</v>
      </c>
      <c r="B14" s="36">
        <v>15</v>
      </c>
      <c r="C14" s="41"/>
      <c r="D14" s="36">
        <v>15</v>
      </c>
      <c r="E14" s="37"/>
      <c r="F14" s="36">
        <v>16.5</v>
      </c>
      <c r="G14" s="41"/>
      <c r="H14" s="36">
        <v>17</v>
      </c>
      <c r="I14" s="37"/>
      <c r="J14" s="1248">
        <v>14.5</v>
      </c>
      <c r="K14" s="896"/>
      <c r="L14" s="1248">
        <v>15</v>
      </c>
      <c r="M14" s="1133" t="s">
        <v>83</v>
      </c>
      <c r="N14" s="1">
        <f>SUM(J6:J8,J12:J14,J18:J19,J21:J23)</f>
        <v>130.80000000000001</v>
      </c>
      <c r="O14" s="128">
        <f>N14/N17</f>
        <v>0.33214829862874562</v>
      </c>
      <c r="U14" s="56"/>
      <c r="V14" s="56"/>
      <c r="W14" s="56"/>
      <c r="X14" s="594"/>
      <c r="Z14" s="414"/>
    </row>
    <row r="15" spans="1:26" ht="12">
      <c r="A15" s="42" t="s">
        <v>10</v>
      </c>
      <c r="B15" s="36">
        <v>22.6</v>
      </c>
      <c r="C15" s="41"/>
      <c r="D15" s="36">
        <v>24</v>
      </c>
      <c r="E15" s="37"/>
      <c r="F15" s="36">
        <v>21.1</v>
      </c>
      <c r="G15" s="41"/>
      <c r="H15" s="36">
        <v>22</v>
      </c>
      <c r="I15" s="37"/>
      <c r="J15" s="1248">
        <v>21.3</v>
      </c>
      <c r="K15" s="896"/>
      <c r="L15" s="1248">
        <v>22</v>
      </c>
      <c r="M15" s="1133" t="s">
        <v>84</v>
      </c>
      <c r="N15" s="1">
        <f>SUM(J9,J15,J19,J24)</f>
        <v>134.6</v>
      </c>
      <c r="O15" s="128">
        <f>N15/N17</f>
        <v>0.34179786693753178</v>
      </c>
      <c r="U15" s="56"/>
      <c r="V15" s="56"/>
      <c r="W15" s="56"/>
      <c r="X15" s="594"/>
      <c r="Z15" s="414"/>
    </row>
    <row r="16" spans="1:26" ht="12">
      <c r="A16" s="42" t="s">
        <v>9</v>
      </c>
      <c r="B16" s="36">
        <v>42.3</v>
      </c>
      <c r="C16" s="41"/>
      <c r="D16" s="36">
        <v>45</v>
      </c>
      <c r="E16" s="37"/>
      <c r="F16" s="36">
        <v>40</v>
      </c>
      <c r="G16" s="41"/>
      <c r="H16" s="36">
        <v>43</v>
      </c>
      <c r="I16" s="37"/>
      <c r="J16" s="1248">
        <v>32.5</v>
      </c>
      <c r="K16" s="896"/>
      <c r="L16" s="1248">
        <v>34</v>
      </c>
      <c r="M16" s="379" t="s">
        <v>85</v>
      </c>
      <c r="N16" s="1">
        <f>SUM(J10,J16,J25)</f>
        <v>128.4</v>
      </c>
      <c r="O16" s="128">
        <f>N16/N17</f>
        <v>0.32605383443372277</v>
      </c>
      <c r="U16" s="56"/>
      <c r="V16" s="56"/>
      <c r="W16" s="56"/>
      <c r="X16" s="594"/>
    </row>
    <row r="17" spans="1:29" ht="12">
      <c r="A17" s="51" t="s">
        <v>119</v>
      </c>
      <c r="B17" s="840">
        <f>SUM(B12:B16)</f>
        <v>81.900000000000006</v>
      </c>
      <c r="C17" s="838"/>
      <c r="D17" s="839">
        <f>SUM(D12:D16)</f>
        <v>86</v>
      </c>
      <c r="E17" s="52"/>
      <c r="F17" s="840">
        <f>SUM(F12:F16)</f>
        <v>79.599999999999994</v>
      </c>
      <c r="G17" s="838"/>
      <c r="H17" s="839">
        <f>SUM(H12:H16)</f>
        <v>84</v>
      </c>
      <c r="I17" s="52"/>
      <c r="J17" s="53">
        <f>SUM(J12:J16)</f>
        <v>70.3</v>
      </c>
      <c r="K17" s="53"/>
      <c r="L17" s="839">
        <f>SUM(L12:L16)</f>
        <v>73</v>
      </c>
      <c r="N17" s="1">
        <f>SUM(N14:N16)</f>
        <v>393.79999999999995</v>
      </c>
      <c r="O17" s="313">
        <f>SUM(O14:O16)</f>
        <v>1.0000000000000002</v>
      </c>
      <c r="U17" s="56"/>
      <c r="V17" s="56"/>
      <c r="W17" s="56"/>
      <c r="X17" s="594"/>
    </row>
    <row r="18" spans="1:29" ht="12">
      <c r="A18" s="42" t="s">
        <v>8</v>
      </c>
      <c r="B18" s="36">
        <v>2</v>
      </c>
      <c r="C18" s="41"/>
      <c r="D18" s="36">
        <v>2</v>
      </c>
      <c r="E18" s="37"/>
      <c r="F18" s="36">
        <v>2</v>
      </c>
      <c r="G18" s="41"/>
      <c r="H18" s="36">
        <v>2</v>
      </c>
      <c r="I18" s="37"/>
      <c r="J18" s="1248">
        <v>1</v>
      </c>
      <c r="K18" s="896"/>
      <c r="L18" s="1248">
        <v>1</v>
      </c>
      <c r="M18" s="50"/>
      <c r="U18" s="56"/>
      <c r="V18" s="56"/>
      <c r="W18" s="56"/>
      <c r="X18" s="594"/>
    </row>
    <row r="19" spans="1:29" ht="12">
      <c r="A19" s="42" t="s">
        <v>7</v>
      </c>
      <c r="B19" s="36">
        <v>1</v>
      </c>
      <c r="C19" s="41"/>
      <c r="D19" s="36">
        <v>1</v>
      </c>
      <c r="E19" s="37"/>
      <c r="F19" s="36">
        <v>1</v>
      </c>
      <c r="G19" s="41"/>
      <c r="H19" s="36">
        <v>1</v>
      </c>
      <c r="I19" s="37"/>
      <c r="J19" s="1248">
        <v>1</v>
      </c>
      <c r="K19" s="896"/>
      <c r="L19" s="1248">
        <v>1</v>
      </c>
      <c r="M19" s="37"/>
      <c r="P19" s="379" t="s">
        <v>353</v>
      </c>
      <c r="Q19" s="1332">
        <v>19711</v>
      </c>
      <c r="R19" s="897">
        <f>Q19/$Q$22</f>
        <v>0.32132435648729274</v>
      </c>
      <c r="U19" s="56"/>
      <c r="V19" s="56"/>
      <c r="W19" s="56"/>
      <c r="X19" s="594"/>
    </row>
    <row r="20" spans="1:29" ht="12">
      <c r="A20" s="51" t="s">
        <v>6</v>
      </c>
      <c r="B20" s="53">
        <f>SUM(B18:B19)</f>
        <v>3</v>
      </c>
      <c r="C20" s="838"/>
      <c r="D20" s="839">
        <f>SUM(D18:D19)</f>
        <v>3</v>
      </c>
      <c r="E20" s="52"/>
      <c r="F20" s="53">
        <f>SUM(F18:F19)</f>
        <v>3</v>
      </c>
      <c r="G20" s="838"/>
      <c r="H20" s="839">
        <f>SUM(H18:H19)</f>
        <v>3</v>
      </c>
      <c r="I20" s="52"/>
      <c r="J20" s="53">
        <f>SUM(J18:J19)</f>
        <v>2</v>
      </c>
      <c r="K20" s="53"/>
      <c r="L20" s="839">
        <f>SUM(L18:L19)</f>
        <v>2</v>
      </c>
      <c r="M20" s="37"/>
      <c r="P20" s="379" t="s">
        <v>354</v>
      </c>
      <c r="Q20" s="1332">
        <v>16621</v>
      </c>
      <c r="R20" s="897">
        <f>Q20/$Q$22</f>
        <v>0.27095186084801853</v>
      </c>
      <c r="U20" s="56"/>
      <c r="V20" s="56"/>
      <c r="W20" s="56"/>
      <c r="X20" s="594"/>
    </row>
    <row r="21" spans="1:29" ht="12">
      <c r="A21" s="42" t="s">
        <v>494</v>
      </c>
      <c r="B21" s="36">
        <v>1</v>
      </c>
      <c r="C21" s="41"/>
      <c r="D21" s="36">
        <v>1</v>
      </c>
      <c r="E21" s="41"/>
      <c r="F21" s="36" t="s">
        <v>740</v>
      </c>
      <c r="G21" s="41"/>
      <c r="H21" s="36" t="s">
        <v>740</v>
      </c>
      <c r="I21" s="41"/>
      <c r="J21" s="1248">
        <v>1</v>
      </c>
      <c r="K21" s="896"/>
      <c r="L21" s="1248">
        <v>1</v>
      </c>
      <c r="M21" s="50"/>
      <c r="P21" s="379" t="s">
        <v>355</v>
      </c>
      <c r="Q21" s="1332">
        <v>25011</v>
      </c>
      <c r="R21" s="897">
        <f>Q21/$Q$22</f>
        <v>0.40772378266468873</v>
      </c>
      <c r="U21" s="56"/>
      <c r="V21" s="56"/>
      <c r="W21" s="56"/>
      <c r="X21" s="594"/>
    </row>
    <row r="22" spans="1:29" ht="12">
      <c r="A22" s="42" t="s">
        <v>5</v>
      </c>
      <c r="B22" s="36">
        <v>5</v>
      </c>
      <c r="C22" s="41"/>
      <c r="D22" s="36">
        <v>5</v>
      </c>
      <c r="E22" s="37"/>
      <c r="F22" s="36">
        <v>5</v>
      </c>
      <c r="G22" s="41"/>
      <c r="H22" s="36">
        <v>5</v>
      </c>
      <c r="I22" s="37"/>
      <c r="J22" s="1248">
        <v>5</v>
      </c>
      <c r="K22" s="896"/>
      <c r="L22" s="1248">
        <v>5</v>
      </c>
      <c r="M22" s="50"/>
      <c r="P22" s="897"/>
      <c r="Q22" s="3">
        <f>SUM(Q19:Q21)</f>
        <v>61343</v>
      </c>
      <c r="R22" s="3"/>
      <c r="U22" s="56"/>
      <c r="V22" s="56"/>
      <c r="W22" s="56"/>
      <c r="X22" s="594"/>
    </row>
    <row r="23" spans="1:29" ht="12">
      <c r="A23" s="42" t="s">
        <v>4</v>
      </c>
      <c r="B23" s="36">
        <v>5</v>
      </c>
      <c r="C23" s="41"/>
      <c r="D23" s="36">
        <v>5</v>
      </c>
      <c r="E23" s="37"/>
      <c r="F23" s="36">
        <v>5</v>
      </c>
      <c r="G23" s="41"/>
      <c r="H23" s="36">
        <v>5</v>
      </c>
      <c r="I23" s="37"/>
      <c r="J23" s="1248">
        <v>5</v>
      </c>
      <c r="K23" s="896"/>
      <c r="L23" s="1248">
        <v>5</v>
      </c>
      <c r="M23" s="37"/>
      <c r="U23" s="56"/>
      <c r="V23" s="56"/>
      <c r="W23" s="56"/>
      <c r="X23" s="594"/>
    </row>
    <row r="24" spans="1:29" ht="12">
      <c r="A24" s="42" t="s">
        <v>3</v>
      </c>
      <c r="B24" s="36">
        <v>14.2</v>
      </c>
      <c r="C24" s="41"/>
      <c r="D24" s="36">
        <v>15</v>
      </c>
      <c r="E24" s="37"/>
      <c r="F24" s="36">
        <v>13.2</v>
      </c>
      <c r="G24" s="41"/>
      <c r="H24" s="36">
        <v>14</v>
      </c>
      <c r="I24" s="37"/>
      <c r="J24" s="1248">
        <v>14.6</v>
      </c>
      <c r="K24" s="896"/>
      <c r="L24" s="1248">
        <v>15</v>
      </c>
      <c r="M24" s="37"/>
      <c r="U24" s="56"/>
      <c r="V24" s="56"/>
      <c r="W24" s="56"/>
      <c r="X24" s="594"/>
    </row>
    <row r="25" spans="1:29" ht="11.25">
      <c r="A25" s="42" t="s">
        <v>2</v>
      </c>
      <c r="B25" s="36">
        <v>15.8</v>
      </c>
      <c r="C25" s="41"/>
      <c r="D25" s="36">
        <v>16</v>
      </c>
      <c r="E25" s="37"/>
      <c r="F25" s="36">
        <v>16.600000000000001</v>
      </c>
      <c r="G25" s="41"/>
      <c r="H25" s="36">
        <v>17</v>
      </c>
      <c r="I25" s="37"/>
      <c r="J25" s="1248">
        <v>16.5</v>
      </c>
      <c r="K25" s="896"/>
      <c r="L25" s="1248">
        <v>17</v>
      </c>
      <c r="M25" s="37"/>
      <c r="U25" s="56"/>
      <c r="V25" s="56"/>
      <c r="W25" s="56"/>
    </row>
    <row r="26" spans="1:29" ht="11.25">
      <c r="A26" s="51" t="s">
        <v>1</v>
      </c>
      <c r="B26" s="53">
        <f>SUM(B21:B25)</f>
        <v>41</v>
      </c>
      <c r="C26" s="53"/>
      <c r="D26" s="53">
        <f>SUM(D21:D25)</f>
        <v>42</v>
      </c>
      <c r="E26" s="53"/>
      <c r="F26" s="53">
        <f>SUM(F21:F25)</f>
        <v>39.799999999999997</v>
      </c>
      <c r="G26" s="53"/>
      <c r="H26" s="53">
        <f>SUM(H21:H25)</f>
        <v>41</v>
      </c>
      <c r="I26" s="53"/>
      <c r="J26" s="53">
        <f>SUM(J21:J25)</f>
        <v>42.1</v>
      </c>
      <c r="K26" s="53"/>
      <c r="L26" s="53">
        <f>SUM(L21:L25)</f>
        <v>43</v>
      </c>
      <c r="M26" s="340"/>
      <c r="U26" s="56"/>
      <c r="V26" s="56"/>
      <c r="W26" s="56"/>
    </row>
    <row r="27" spans="1:29" ht="11.25">
      <c r="A27" s="49"/>
      <c r="B27" s="39"/>
      <c r="C27" s="39"/>
      <c r="D27" s="39"/>
      <c r="E27" s="39"/>
      <c r="F27" s="39"/>
      <c r="G27" s="39"/>
      <c r="H27" s="39"/>
      <c r="I27" s="39"/>
      <c r="J27" s="940"/>
      <c r="K27" s="940"/>
      <c r="L27" s="940"/>
      <c r="M27" s="341"/>
    </row>
    <row r="28" spans="1:29" s="3" customFormat="1" ht="11.25">
      <c r="A28" s="43" t="s">
        <v>524</v>
      </c>
      <c r="B28" s="53">
        <f>SUM(B26,B20,B17,B11)</f>
        <v>411.4</v>
      </c>
      <c r="C28" s="53"/>
      <c r="D28" s="839">
        <f>SUM(D11,D17,D20,D26)</f>
        <v>428</v>
      </c>
      <c r="E28" s="53"/>
      <c r="F28" s="53">
        <f>SUM(F26,F20,F17,F11)</f>
        <v>404.4</v>
      </c>
      <c r="G28" s="53"/>
      <c r="H28" s="839">
        <f>SUM(H11,H17,H20,H26)</f>
        <v>420</v>
      </c>
      <c r="I28" s="53"/>
      <c r="J28" s="53">
        <f>SUM(J26,J20,J17,J11)</f>
        <v>392.79999999999995</v>
      </c>
      <c r="K28" s="53"/>
      <c r="L28" s="839">
        <f>SUM(L11,L17,L20,L26)</f>
        <v>408</v>
      </c>
      <c r="M28" s="341"/>
      <c r="W28" s="154"/>
      <c r="X28" s="414"/>
    </row>
    <row r="29" spans="1:29" ht="11.25">
      <c r="A29" s="598" t="s">
        <v>640</v>
      </c>
      <c r="B29" s="598"/>
      <c r="C29" s="598"/>
      <c r="D29" s="598"/>
      <c r="E29" s="463"/>
      <c r="F29" s="598"/>
      <c r="G29" s="598"/>
      <c r="H29" s="598"/>
      <c r="I29" s="598"/>
      <c r="J29" s="941"/>
      <c r="K29" s="941"/>
      <c r="L29" s="941"/>
      <c r="M29" s="342"/>
      <c r="U29" s="56"/>
      <c r="V29" s="56"/>
      <c r="W29" s="56"/>
      <c r="X29" s="56"/>
      <c r="Y29" s="56"/>
      <c r="Z29" s="56"/>
      <c r="AA29" s="56"/>
      <c r="AB29" s="56"/>
      <c r="AC29" s="56"/>
    </row>
    <row r="30" spans="1:29" ht="11.25">
      <c r="A30" s="38" t="s">
        <v>234</v>
      </c>
      <c r="B30" s="36">
        <v>63.6</v>
      </c>
      <c r="C30" s="41"/>
      <c r="D30" s="36">
        <v>67</v>
      </c>
      <c r="E30" s="37"/>
      <c r="F30" s="36">
        <v>57.8</v>
      </c>
      <c r="G30" s="41"/>
      <c r="H30" s="36">
        <v>61</v>
      </c>
      <c r="I30" s="37"/>
      <c r="J30" s="1248">
        <v>108</v>
      </c>
      <c r="K30" s="1251"/>
      <c r="L30" s="1248">
        <v>113</v>
      </c>
      <c r="U30" s="56"/>
      <c r="V30" s="56"/>
      <c r="W30" s="56"/>
      <c r="X30" s="56"/>
      <c r="Y30" s="56"/>
      <c r="Z30" s="56"/>
      <c r="AA30" s="56"/>
      <c r="AB30" s="56"/>
      <c r="AC30" s="56"/>
    </row>
    <row r="31" spans="1:29" s="3" customFormat="1" ht="9.75" customHeight="1">
      <c r="A31" s="38" t="s">
        <v>48</v>
      </c>
      <c r="B31" s="36">
        <v>68.900000000000006</v>
      </c>
      <c r="C31" s="41"/>
      <c r="D31" s="36">
        <v>74</v>
      </c>
      <c r="E31" s="37"/>
      <c r="F31" s="36">
        <v>79.2</v>
      </c>
      <c r="G31" s="41"/>
      <c r="H31" s="36">
        <v>85</v>
      </c>
      <c r="I31" s="37"/>
      <c r="J31" s="1248">
        <v>87.1</v>
      </c>
      <c r="K31" s="1251"/>
      <c r="L31" s="1248">
        <v>92</v>
      </c>
      <c r="N31" s="1" t="s">
        <v>14</v>
      </c>
      <c r="O31" s="7">
        <f>L11/(L36+L43)</f>
        <v>0.45454545454545453</v>
      </c>
      <c r="U31" s="56"/>
      <c r="V31" s="56"/>
      <c r="W31" s="56"/>
      <c r="X31" s="56"/>
      <c r="Y31" s="56"/>
      <c r="Z31" s="56"/>
      <c r="AA31" s="56"/>
      <c r="AB31" s="56"/>
      <c r="AC31" s="56"/>
    </row>
    <row r="32" spans="1:29" s="3" customFormat="1" ht="9.75" customHeight="1">
      <c r="A32" s="42" t="s">
        <v>0</v>
      </c>
      <c r="B32" s="36">
        <v>1</v>
      </c>
      <c r="C32" s="41"/>
      <c r="D32" s="36">
        <v>1</v>
      </c>
      <c r="E32" s="37"/>
      <c r="F32" s="36">
        <v>1</v>
      </c>
      <c r="G32" s="41"/>
      <c r="H32" s="36">
        <v>1</v>
      </c>
      <c r="I32" s="37"/>
      <c r="J32" s="1248">
        <v>1</v>
      </c>
      <c r="K32" s="1251"/>
      <c r="L32" s="1248">
        <v>1</v>
      </c>
      <c r="N32" s="1" t="s">
        <v>119</v>
      </c>
      <c r="O32" s="7">
        <f>SUM(L17+L20)/(L36+L43)</f>
        <v>0.11755485893416928</v>
      </c>
      <c r="P32" s="897"/>
      <c r="U32" s="56"/>
      <c r="V32" s="56"/>
      <c r="W32" s="56"/>
      <c r="X32" s="56"/>
      <c r="Y32" s="56"/>
      <c r="Z32" s="56"/>
      <c r="AA32" s="56"/>
      <c r="AB32" s="56"/>
      <c r="AC32" s="56"/>
    </row>
    <row r="33" spans="1:29" ht="11.25">
      <c r="A33" s="42" t="s">
        <v>383</v>
      </c>
      <c r="B33" s="36">
        <v>1.3</v>
      </c>
      <c r="C33" s="41"/>
      <c r="D33" s="36">
        <v>2</v>
      </c>
      <c r="E33" s="37"/>
      <c r="F33" s="36">
        <v>0.5</v>
      </c>
      <c r="G33" s="41"/>
      <c r="H33" s="36">
        <v>1</v>
      </c>
      <c r="I33" s="37"/>
      <c r="J33" s="1414"/>
      <c r="K33" s="1251"/>
      <c r="L33" s="1414"/>
      <c r="M33" s="340"/>
      <c r="N33" s="3" t="s">
        <v>64</v>
      </c>
      <c r="O33" s="7">
        <f>L26/(L36+L43)</f>
        <v>6.7398119122257058E-2</v>
      </c>
      <c r="P33" s="894"/>
      <c r="U33" s="56"/>
      <c r="V33" s="56"/>
      <c r="W33" s="56"/>
      <c r="X33" s="56"/>
      <c r="Y33" s="56"/>
      <c r="Z33" s="56"/>
      <c r="AA33" s="56"/>
      <c r="AB33" s="56"/>
      <c r="AC33" s="56"/>
    </row>
    <row r="34" spans="1:29" ht="11.25">
      <c r="A34" s="43" t="s">
        <v>345</v>
      </c>
      <c r="B34" s="53">
        <f>SUM(B30:B33)</f>
        <v>134.80000000000001</v>
      </c>
      <c r="C34" s="53"/>
      <c r="D34" s="839">
        <f>SUM(D30:D33)</f>
        <v>144</v>
      </c>
      <c r="E34" s="45"/>
      <c r="F34" s="53">
        <f>SUM(F30:F33)</f>
        <v>138.5</v>
      </c>
      <c r="G34" s="53"/>
      <c r="H34" s="839">
        <f>SUM(H30:H33)</f>
        <v>148</v>
      </c>
      <c r="I34" s="45"/>
      <c r="J34" s="53">
        <f>SUM(J30:J33)</f>
        <v>196.1</v>
      </c>
      <c r="K34" s="53"/>
      <c r="L34" s="839">
        <f>SUM(L30:L33)</f>
        <v>206</v>
      </c>
      <c r="M34" s="339"/>
      <c r="N34" s="7" t="s">
        <v>806</v>
      </c>
      <c r="O34" s="7">
        <f>L34/(L36+L43)</f>
        <v>0.32288401253918497</v>
      </c>
      <c r="U34" s="56"/>
      <c r="V34" s="56"/>
      <c r="W34" s="56"/>
      <c r="X34" s="56"/>
      <c r="Y34" s="56"/>
      <c r="Z34" s="56"/>
      <c r="AA34" s="56"/>
      <c r="AB34" s="56"/>
      <c r="AC34" s="56"/>
    </row>
    <row r="35" spans="1:29" ht="11.25">
      <c r="A35" s="54"/>
      <c r="B35" s="46"/>
      <c r="C35" s="46"/>
      <c r="D35" s="841"/>
      <c r="E35" s="46"/>
      <c r="F35" s="46"/>
      <c r="G35" s="46"/>
      <c r="H35" s="841"/>
      <c r="I35" s="46"/>
      <c r="J35" s="942"/>
      <c r="K35" s="943"/>
      <c r="L35" s="863"/>
      <c r="M35" s="55"/>
      <c r="N35" s="7" t="s">
        <v>807</v>
      </c>
      <c r="O35" s="7">
        <f>L43/(L36+L43)</f>
        <v>3.7617554858934171E-2</v>
      </c>
      <c r="U35" s="3"/>
      <c r="V35" s="3"/>
      <c r="W35" s="3"/>
      <c r="X35" s="3"/>
      <c r="Y35" s="3"/>
      <c r="Z35" s="3"/>
      <c r="AA35" s="3"/>
      <c r="AB35" s="3"/>
      <c r="AC35" s="3"/>
    </row>
    <row r="36" spans="1:29" s="3" customFormat="1" ht="9.75" customHeight="1">
      <c r="A36" s="47" t="s">
        <v>344</v>
      </c>
      <c r="B36" s="842">
        <f>SUM(B28,B34)</f>
        <v>546.20000000000005</v>
      </c>
      <c r="C36" s="842"/>
      <c r="D36" s="843">
        <f>SUM(D28,D34)</f>
        <v>572</v>
      </c>
      <c r="E36" s="48"/>
      <c r="F36" s="842">
        <f>SUM(F28,F34)</f>
        <v>542.9</v>
      </c>
      <c r="G36" s="842"/>
      <c r="H36" s="843">
        <f>SUM(H28,H34)</f>
        <v>568</v>
      </c>
      <c r="I36" s="48"/>
      <c r="J36" s="842">
        <f>SUM(J28,J34)</f>
        <v>588.9</v>
      </c>
      <c r="K36" s="842"/>
      <c r="L36" s="843">
        <f>SUM(L28,L34)</f>
        <v>614</v>
      </c>
      <c r="M36" s="55"/>
      <c r="N36" s="1"/>
      <c r="O36" s="7">
        <f>SUM(O31:O35)</f>
        <v>1</v>
      </c>
      <c r="P36" s="20"/>
    </row>
    <row r="37" spans="1:29" s="3" customFormat="1" ht="17.25" customHeight="1">
      <c r="A37" s="22"/>
      <c r="B37" s="23"/>
      <c r="C37" s="23"/>
      <c r="D37" s="24"/>
      <c r="E37" s="4"/>
      <c r="F37" s="23"/>
      <c r="G37" s="23"/>
      <c r="H37" s="24"/>
      <c r="I37" s="4"/>
      <c r="J37" s="4"/>
      <c r="K37" s="4"/>
      <c r="L37" s="844"/>
      <c r="M37" s="29"/>
      <c r="N37" s="8"/>
      <c r="O37" s="8"/>
      <c r="P37" s="8"/>
    </row>
    <row r="38" spans="1:29" s="3" customFormat="1" ht="22.5">
      <c r="A38" s="378" t="s">
        <v>641</v>
      </c>
      <c r="B38" s="33" t="s">
        <v>86</v>
      </c>
      <c r="C38" s="33"/>
      <c r="D38" s="33" t="s">
        <v>94</v>
      </c>
      <c r="E38" s="33"/>
      <c r="F38" s="33" t="s">
        <v>86</v>
      </c>
      <c r="G38" s="33"/>
      <c r="H38" s="33" t="s">
        <v>94</v>
      </c>
      <c r="I38" s="33"/>
      <c r="J38" s="33" t="s">
        <v>86</v>
      </c>
      <c r="K38" s="33"/>
      <c r="L38" s="33" t="s">
        <v>94</v>
      </c>
      <c r="M38" s="24"/>
    </row>
    <row r="39" spans="1:29" ht="11.25">
      <c r="B39" s="1599">
        <v>44196</v>
      </c>
      <c r="C39" s="1599"/>
      <c r="D39" s="1599"/>
      <c r="E39" s="774"/>
      <c r="F39" s="1599">
        <v>44561</v>
      </c>
      <c r="G39" s="1599"/>
      <c r="H39" s="1599"/>
      <c r="I39" s="1096"/>
      <c r="J39" s="1599">
        <v>44926</v>
      </c>
      <c r="K39" s="1599"/>
      <c r="L39" s="1599"/>
      <c r="M39" s="3"/>
      <c r="W39" s="414"/>
    </row>
    <row r="40" spans="1:29" ht="6" customHeight="1">
      <c r="B40" s="891"/>
      <c r="C40" s="892"/>
      <c r="D40" s="892"/>
      <c r="E40" s="774"/>
      <c r="F40" s="1095"/>
      <c r="G40" s="1096"/>
      <c r="H40" s="1096"/>
      <c r="I40" s="1096"/>
      <c r="J40" s="1035"/>
      <c r="K40" s="1036"/>
      <c r="L40" s="1036"/>
      <c r="M40" s="3"/>
      <c r="W40" s="414"/>
    </row>
    <row r="41" spans="1:29" ht="11.25">
      <c r="A41" s="42" t="s">
        <v>56</v>
      </c>
      <c r="B41" s="36"/>
      <c r="C41" s="37"/>
      <c r="D41" s="36"/>
      <c r="E41" s="46"/>
      <c r="F41" s="36">
        <v>1</v>
      </c>
      <c r="G41" s="37"/>
      <c r="H41" s="36">
        <v>1</v>
      </c>
      <c r="I41" s="46"/>
      <c r="J41" s="1248">
        <v>2</v>
      </c>
      <c r="K41" s="1331"/>
      <c r="L41" s="1248">
        <v>2</v>
      </c>
      <c r="M41" s="3"/>
      <c r="W41" s="414"/>
    </row>
    <row r="42" spans="1:29" ht="11.25">
      <c r="A42" s="42" t="s">
        <v>521</v>
      </c>
      <c r="B42" s="36">
        <v>22.5</v>
      </c>
      <c r="C42" s="37"/>
      <c r="D42" s="36">
        <v>23</v>
      </c>
      <c r="E42" s="46"/>
      <c r="F42" s="36">
        <v>22.5</v>
      </c>
      <c r="G42" s="37"/>
      <c r="H42" s="36">
        <v>23</v>
      </c>
      <c r="I42" s="46"/>
      <c r="J42" s="1248">
        <v>21.6</v>
      </c>
      <c r="K42" s="1331"/>
      <c r="L42" s="1248">
        <v>22</v>
      </c>
      <c r="M42" s="3"/>
      <c r="W42" s="414"/>
    </row>
    <row r="43" spans="1:29" ht="11.25">
      <c r="A43" s="43" t="s">
        <v>57</v>
      </c>
      <c r="B43" s="840">
        <f>SUM(B41:B42)</f>
        <v>22.5</v>
      </c>
      <c r="C43" s="840"/>
      <c r="D43" s="839">
        <f>SUM(D41:D42)</f>
        <v>23</v>
      </c>
      <c r="E43" s="45"/>
      <c r="F43" s="840">
        <v>22.1</v>
      </c>
      <c r="G43" s="840"/>
      <c r="H43" s="839">
        <v>24</v>
      </c>
      <c r="I43" s="45"/>
      <c r="J43" s="840">
        <f>SUM(J41:J42)</f>
        <v>23.6</v>
      </c>
      <c r="K43" s="840"/>
      <c r="L43" s="839">
        <f>SUM(L41:L42)</f>
        <v>24</v>
      </c>
      <c r="M43" s="3"/>
    </row>
    <row r="44" spans="1:29" ht="13.9" customHeight="1"/>
    <row r="45" spans="1:29" ht="13.9" customHeight="1"/>
    <row r="46" spans="1:29" ht="13.9" customHeight="1"/>
    <row r="47" spans="1:29">
      <c r="F47" s="430"/>
    </row>
    <row r="49" spans="6:16">
      <c r="F49"/>
      <c r="G49"/>
      <c r="H49"/>
    </row>
    <row r="50" spans="6:16">
      <c r="F50"/>
      <c r="G50"/>
      <c r="H50"/>
      <c r="I50" s="178"/>
      <c r="J50"/>
      <c r="K50" s="6"/>
      <c r="L50"/>
      <c r="M50"/>
      <c r="N50"/>
      <c r="O50"/>
      <c r="P50"/>
    </row>
    <row r="51" spans="6:16" ht="12">
      <c r="F51"/>
      <c r="G51"/>
      <c r="H51"/>
      <c r="I51" s="178"/>
      <c r="J51"/>
      <c r="K51" s="593"/>
      <c r="L51" s="594"/>
      <c r="M51" s="594"/>
      <c r="N51"/>
      <c r="O51"/>
      <c r="P51"/>
    </row>
    <row r="52" spans="6:16" ht="12">
      <c r="F52"/>
      <c r="G52"/>
      <c r="H52"/>
      <c r="I52" s="178"/>
      <c r="J52"/>
      <c r="K52" s="593"/>
      <c r="L52" s="594"/>
      <c r="M52" s="594"/>
      <c r="N52"/>
      <c r="O52"/>
      <c r="P52"/>
    </row>
    <row r="53" spans="6:16" ht="12">
      <c r="F53"/>
      <c r="G53"/>
      <c r="H53"/>
      <c r="I53" s="178"/>
      <c r="J53"/>
      <c r="K53" s="593"/>
      <c r="L53" s="594"/>
      <c r="M53" s="594"/>
      <c r="N53"/>
      <c r="O53"/>
      <c r="P53"/>
    </row>
    <row r="54" spans="6:16" ht="12">
      <c r="F54"/>
      <c r="G54"/>
      <c r="H54"/>
      <c r="I54" s="178"/>
      <c r="J54"/>
      <c r="K54" s="593"/>
      <c r="L54" s="594"/>
      <c r="M54" s="594"/>
      <c r="N54"/>
      <c r="O54"/>
      <c r="P54"/>
    </row>
    <row r="55" spans="6:16">
      <c r="F55"/>
      <c r="G55"/>
      <c r="H55"/>
      <c r="I55" s="178"/>
      <c r="J55"/>
      <c r="K55" s="6"/>
      <c r="L55"/>
      <c r="M55"/>
      <c r="N55"/>
      <c r="O55"/>
      <c r="P55"/>
    </row>
    <row r="56" spans="6:16">
      <c r="I56" s="178"/>
      <c r="J56"/>
      <c r="K56" s="6"/>
      <c r="L56"/>
      <c r="M56"/>
      <c r="N56"/>
      <c r="O56"/>
      <c r="P56"/>
    </row>
  </sheetData>
  <mergeCells count="6">
    <mergeCell ref="B39:D39"/>
    <mergeCell ref="J39:L39"/>
    <mergeCell ref="B5:D5"/>
    <mergeCell ref="J5:L5"/>
    <mergeCell ref="F5:H5"/>
    <mergeCell ref="F39:H39"/>
  </mergeCells>
  <pageMargins left="0.11811023622047245" right="0.11811023622047245" top="0.35433070866141736" bottom="0.35433070866141736" header="0.31496062992125984" footer="0.31496062992125984"/>
  <pageSetup paperSize="9" scale="9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W45"/>
  <sheetViews>
    <sheetView showGridLines="0" zoomScaleNormal="100" zoomScaleSheetLayoutView="100" workbookViewId="0">
      <selection activeCell="E53" sqref="E53"/>
    </sheetView>
  </sheetViews>
  <sheetFormatPr baseColWidth="10" defaultRowHeight="10.5"/>
  <cols>
    <col min="1" max="1" width="3.1640625" customWidth="1"/>
    <col min="2" max="2" width="16.6640625" customWidth="1"/>
    <col min="3" max="3" width="9.1640625" customWidth="1"/>
    <col min="4" max="5" width="7.5" customWidth="1"/>
    <col min="6" max="6" width="8.33203125" customWidth="1"/>
    <col min="7" max="9" width="7.5" customWidth="1"/>
    <col min="10" max="10" width="8.33203125" customWidth="1"/>
    <col min="11" max="11" width="9" customWidth="1"/>
    <col min="12" max="12" width="3.6640625" customWidth="1"/>
    <col min="13" max="13" width="17.5" customWidth="1"/>
    <col min="14" max="15" width="7.5" customWidth="1"/>
    <col min="16" max="16" width="7.6640625" customWidth="1"/>
    <col min="17" max="17" width="8.1640625" customWidth="1"/>
    <col min="18" max="20" width="7.5" customWidth="1"/>
    <col min="21" max="21" width="8.1640625" customWidth="1"/>
    <col min="22" max="22" width="8.5" customWidth="1"/>
    <col min="209" max="209" width="3.1640625" customWidth="1"/>
    <col min="210" max="210" width="16.6640625" customWidth="1"/>
    <col min="211" max="211" width="9.1640625" customWidth="1"/>
    <col min="212" max="213" width="7.5" customWidth="1"/>
    <col min="214" max="214" width="8.33203125" customWidth="1"/>
    <col min="215" max="217" width="7.5" customWidth="1"/>
    <col min="218" max="218" width="8.33203125" customWidth="1"/>
    <col min="219" max="219" width="7.5" customWidth="1"/>
    <col min="220" max="220" width="3.6640625" customWidth="1"/>
    <col min="221" max="221" width="17.5" customWidth="1"/>
    <col min="222" max="223" width="7.5" customWidth="1"/>
    <col min="224" max="224" width="7.6640625" customWidth="1"/>
    <col min="225" max="225" width="8.1640625" customWidth="1"/>
    <col min="226" max="228" width="7.5" customWidth="1"/>
    <col min="229" max="229" width="8.1640625" customWidth="1"/>
    <col min="230" max="230" width="7.5" customWidth="1"/>
    <col min="231" max="231" width="10.6640625" customWidth="1"/>
    <col min="465" max="465" width="3.1640625" customWidth="1"/>
    <col min="466" max="466" width="16.6640625" customWidth="1"/>
    <col min="467" max="467" width="9.1640625" customWidth="1"/>
    <col min="468" max="469" width="7.5" customWidth="1"/>
    <col min="470" max="470" width="8.33203125" customWidth="1"/>
    <col min="471" max="473" width="7.5" customWidth="1"/>
    <col min="474" max="474" width="8.33203125" customWidth="1"/>
    <col min="475" max="475" width="7.5" customWidth="1"/>
    <col min="476" max="476" width="3.6640625" customWidth="1"/>
    <col min="477" max="477" width="17.5" customWidth="1"/>
    <col min="478" max="479" width="7.5" customWidth="1"/>
    <col min="480" max="480" width="7.6640625" customWidth="1"/>
    <col min="481" max="481" width="8.1640625" customWidth="1"/>
    <col min="482" max="484" width="7.5" customWidth="1"/>
    <col min="485" max="485" width="8.1640625" customWidth="1"/>
    <col min="486" max="486" width="7.5" customWidth="1"/>
    <col min="487" max="487" width="10.6640625" customWidth="1"/>
    <col min="721" max="721" width="3.1640625" customWidth="1"/>
    <col min="722" max="722" width="16.6640625" customWidth="1"/>
    <col min="723" max="723" width="9.1640625" customWidth="1"/>
    <col min="724" max="725" width="7.5" customWidth="1"/>
    <col min="726" max="726" width="8.33203125" customWidth="1"/>
    <col min="727" max="729" width="7.5" customWidth="1"/>
    <col min="730" max="730" width="8.33203125" customWidth="1"/>
    <col min="731" max="731" width="7.5" customWidth="1"/>
    <col min="732" max="732" width="3.6640625" customWidth="1"/>
    <col min="733" max="733" width="17.5" customWidth="1"/>
    <col min="734" max="735" width="7.5" customWidth="1"/>
    <col min="736" max="736" width="7.6640625" customWidth="1"/>
    <col min="737" max="737" width="8.1640625" customWidth="1"/>
    <col min="738" max="740" width="7.5" customWidth="1"/>
    <col min="741" max="741" width="8.1640625" customWidth="1"/>
    <col min="742" max="742" width="7.5" customWidth="1"/>
    <col min="743" max="743" width="10.6640625" customWidth="1"/>
    <col min="977" max="977" width="3.1640625" customWidth="1"/>
    <col min="978" max="978" width="16.6640625" customWidth="1"/>
    <col min="979" max="979" width="9.1640625" customWidth="1"/>
    <col min="980" max="981" width="7.5" customWidth="1"/>
    <col min="982" max="982" width="8.33203125" customWidth="1"/>
    <col min="983" max="985" width="7.5" customWidth="1"/>
    <col min="986" max="986" width="8.33203125" customWidth="1"/>
    <col min="987" max="987" width="7.5" customWidth="1"/>
    <col min="988" max="988" width="3.6640625" customWidth="1"/>
    <col min="989" max="989" width="17.5" customWidth="1"/>
    <col min="990" max="991" width="7.5" customWidth="1"/>
    <col min="992" max="992" width="7.6640625" customWidth="1"/>
    <col min="993" max="993" width="8.1640625" customWidth="1"/>
    <col min="994" max="996" width="7.5" customWidth="1"/>
    <col min="997" max="997" width="8.1640625" customWidth="1"/>
    <col min="998" max="998" width="7.5" customWidth="1"/>
    <col min="999" max="999" width="10.6640625" customWidth="1"/>
    <col min="1233" max="1233" width="3.1640625" customWidth="1"/>
    <col min="1234" max="1234" width="16.6640625" customWidth="1"/>
    <col min="1235" max="1235" width="9.1640625" customWidth="1"/>
    <col min="1236" max="1237" width="7.5" customWidth="1"/>
    <col min="1238" max="1238" width="8.33203125" customWidth="1"/>
    <col min="1239" max="1241" width="7.5" customWidth="1"/>
    <col min="1242" max="1242" width="8.33203125" customWidth="1"/>
    <col min="1243" max="1243" width="7.5" customWidth="1"/>
    <col min="1244" max="1244" width="3.6640625" customWidth="1"/>
    <col min="1245" max="1245" width="17.5" customWidth="1"/>
    <col min="1246" max="1247" width="7.5" customWidth="1"/>
    <col min="1248" max="1248" width="7.6640625" customWidth="1"/>
    <col min="1249" max="1249" width="8.1640625" customWidth="1"/>
    <col min="1250" max="1252" width="7.5" customWidth="1"/>
    <col min="1253" max="1253" width="8.1640625" customWidth="1"/>
    <col min="1254" max="1254" width="7.5" customWidth="1"/>
    <col min="1255" max="1255" width="10.6640625" customWidth="1"/>
    <col min="1489" max="1489" width="3.1640625" customWidth="1"/>
    <col min="1490" max="1490" width="16.6640625" customWidth="1"/>
    <col min="1491" max="1491" width="9.1640625" customWidth="1"/>
    <col min="1492" max="1493" width="7.5" customWidth="1"/>
    <col min="1494" max="1494" width="8.33203125" customWidth="1"/>
    <col min="1495" max="1497" width="7.5" customWidth="1"/>
    <col min="1498" max="1498" width="8.33203125" customWidth="1"/>
    <col min="1499" max="1499" width="7.5" customWidth="1"/>
    <col min="1500" max="1500" width="3.6640625" customWidth="1"/>
    <col min="1501" max="1501" width="17.5" customWidth="1"/>
    <col min="1502" max="1503" width="7.5" customWidth="1"/>
    <col min="1504" max="1504" width="7.6640625" customWidth="1"/>
    <col min="1505" max="1505" width="8.1640625" customWidth="1"/>
    <col min="1506" max="1508" width="7.5" customWidth="1"/>
    <col min="1509" max="1509" width="8.1640625" customWidth="1"/>
    <col min="1510" max="1510" width="7.5" customWidth="1"/>
    <col min="1511" max="1511" width="10.6640625" customWidth="1"/>
    <col min="1745" max="1745" width="3.1640625" customWidth="1"/>
    <col min="1746" max="1746" width="16.6640625" customWidth="1"/>
    <col min="1747" max="1747" width="9.1640625" customWidth="1"/>
    <col min="1748" max="1749" width="7.5" customWidth="1"/>
    <col min="1750" max="1750" width="8.33203125" customWidth="1"/>
    <col min="1751" max="1753" width="7.5" customWidth="1"/>
    <col min="1754" max="1754" width="8.33203125" customWidth="1"/>
    <col min="1755" max="1755" width="7.5" customWidth="1"/>
    <col min="1756" max="1756" width="3.6640625" customWidth="1"/>
    <col min="1757" max="1757" width="17.5" customWidth="1"/>
    <col min="1758" max="1759" width="7.5" customWidth="1"/>
    <col min="1760" max="1760" width="7.6640625" customWidth="1"/>
    <col min="1761" max="1761" width="8.1640625" customWidth="1"/>
    <col min="1762" max="1764" width="7.5" customWidth="1"/>
    <col min="1765" max="1765" width="8.1640625" customWidth="1"/>
    <col min="1766" max="1766" width="7.5" customWidth="1"/>
    <col min="1767" max="1767" width="10.6640625" customWidth="1"/>
    <col min="2001" max="2001" width="3.1640625" customWidth="1"/>
    <col min="2002" max="2002" width="16.6640625" customWidth="1"/>
    <col min="2003" max="2003" width="9.1640625" customWidth="1"/>
    <col min="2004" max="2005" width="7.5" customWidth="1"/>
    <col min="2006" max="2006" width="8.33203125" customWidth="1"/>
    <col min="2007" max="2009" width="7.5" customWidth="1"/>
    <col min="2010" max="2010" width="8.33203125" customWidth="1"/>
    <col min="2011" max="2011" width="7.5" customWidth="1"/>
    <col min="2012" max="2012" width="3.6640625" customWidth="1"/>
    <col min="2013" max="2013" width="17.5" customWidth="1"/>
    <col min="2014" max="2015" width="7.5" customWidth="1"/>
    <col min="2016" max="2016" width="7.6640625" customWidth="1"/>
    <col min="2017" max="2017" width="8.1640625" customWidth="1"/>
    <col min="2018" max="2020" width="7.5" customWidth="1"/>
    <col min="2021" max="2021" width="8.1640625" customWidth="1"/>
    <col min="2022" max="2022" width="7.5" customWidth="1"/>
    <col min="2023" max="2023" width="10.6640625" customWidth="1"/>
    <col min="2257" max="2257" width="3.1640625" customWidth="1"/>
    <col min="2258" max="2258" width="16.6640625" customWidth="1"/>
    <col min="2259" max="2259" width="9.1640625" customWidth="1"/>
    <col min="2260" max="2261" width="7.5" customWidth="1"/>
    <col min="2262" max="2262" width="8.33203125" customWidth="1"/>
    <col min="2263" max="2265" width="7.5" customWidth="1"/>
    <col min="2266" max="2266" width="8.33203125" customWidth="1"/>
    <col min="2267" max="2267" width="7.5" customWidth="1"/>
    <col min="2268" max="2268" width="3.6640625" customWidth="1"/>
    <col min="2269" max="2269" width="17.5" customWidth="1"/>
    <col min="2270" max="2271" width="7.5" customWidth="1"/>
    <col min="2272" max="2272" width="7.6640625" customWidth="1"/>
    <col min="2273" max="2273" width="8.1640625" customWidth="1"/>
    <col min="2274" max="2276" width="7.5" customWidth="1"/>
    <col min="2277" max="2277" width="8.1640625" customWidth="1"/>
    <col min="2278" max="2278" width="7.5" customWidth="1"/>
    <col min="2279" max="2279" width="10.6640625" customWidth="1"/>
    <col min="2513" max="2513" width="3.1640625" customWidth="1"/>
    <col min="2514" max="2514" width="16.6640625" customWidth="1"/>
    <col min="2515" max="2515" width="9.1640625" customWidth="1"/>
    <col min="2516" max="2517" width="7.5" customWidth="1"/>
    <col min="2518" max="2518" width="8.33203125" customWidth="1"/>
    <col min="2519" max="2521" width="7.5" customWidth="1"/>
    <col min="2522" max="2522" width="8.33203125" customWidth="1"/>
    <col min="2523" max="2523" width="7.5" customWidth="1"/>
    <col min="2524" max="2524" width="3.6640625" customWidth="1"/>
    <col min="2525" max="2525" width="17.5" customWidth="1"/>
    <col min="2526" max="2527" width="7.5" customWidth="1"/>
    <col min="2528" max="2528" width="7.6640625" customWidth="1"/>
    <col min="2529" max="2529" width="8.1640625" customWidth="1"/>
    <col min="2530" max="2532" width="7.5" customWidth="1"/>
    <col min="2533" max="2533" width="8.1640625" customWidth="1"/>
    <col min="2534" max="2534" width="7.5" customWidth="1"/>
    <col min="2535" max="2535" width="10.6640625" customWidth="1"/>
    <col min="2769" max="2769" width="3.1640625" customWidth="1"/>
    <col min="2770" max="2770" width="16.6640625" customWidth="1"/>
    <col min="2771" max="2771" width="9.1640625" customWidth="1"/>
    <col min="2772" max="2773" width="7.5" customWidth="1"/>
    <col min="2774" max="2774" width="8.33203125" customWidth="1"/>
    <col min="2775" max="2777" width="7.5" customWidth="1"/>
    <col min="2778" max="2778" width="8.33203125" customWidth="1"/>
    <col min="2779" max="2779" width="7.5" customWidth="1"/>
    <col min="2780" max="2780" width="3.6640625" customWidth="1"/>
    <col min="2781" max="2781" width="17.5" customWidth="1"/>
    <col min="2782" max="2783" width="7.5" customWidth="1"/>
    <col min="2784" max="2784" width="7.6640625" customWidth="1"/>
    <col min="2785" max="2785" width="8.1640625" customWidth="1"/>
    <col min="2786" max="2788" width="7.5" customWidth="1"/>
    <col min="2789" max="2789" width="8.1640625" customWidth="1"/>
    <col min="2790" max="2790" width="7.5" customWidth="1"/>
    <col min="2791" max="2791" width="10.6640625" customWidth="1"/>
    <col min="3025" max="3025" width="3.1640625" customWidth="1"/>
    <col min="3026" max="3026" width="16.6640625" customWidth="1"/>
    <col min="3027" max="3027" width="9.1640625" customWidth="1"/>
    <col min="3028" max="3029" width="7.5" customWidth="1"/>
    <col min="3030" max="3030" width="8.33203125" customWidth="1"/>
    <col min="3031" max="3033" width="7.5" customWidth="1"/>
    <col min="3034" max="3034" width="8.33203125" customWidth="1"/>
    <col min="3035" max="3035" width="7.5" customWidth="1"/>
    <col min="3036" max="3036" width="3.6640625" customWidth="1"/>
    <col min="3037" max="3037" width="17.5" customWidth="1"/>
    <col min="3038" max="3039" width="7.5" customWidth="1"/>
    <col min="3040" max="3040" width="7.6640625" customWidth="1"/>
    <col min="3041" max="3041" width="8.1640625" customWidth="1"/>
    <col min="3042" max="3044" width="7.5" customWidth="1"/>
    <col min="3045" max="3045" width="8.1640625" customWidth="1"/>
    <col min="3046" max="3046" width="7.5" customWidth="1"/>
    <col min="3047" max="3047" width="10.6640625" customWidth="1"/>
    <col min="3281" max="3281" width="3.1640625" customWidth="1"/>
    <col min="3282" max="3282" width="16.6640625" customWidth="1"/>
    <col min="3283" max="3283" width="9.1640625" customWidth="1"/>
    <col min="3284" max="3285" width="7.5" customWidth="1"/>
    <col min="3286" max="3286" width="8.33203125" customWidth="1"/>
    <col min="3287" max="3289" width="7.5" customWidth="1"/>
    <col min="3290" max="3290" width="8.33203125" customWidth="1"/>
    <col min="3291" max="3291" width="7.5" customWidth="1"/>
    <col min="3292" max="3292" width="3.6640625" customWidth="1"/>
    <col min="3293" max="3293" width="17.5" customWidth="1"/>
    <col min="3294" max="3295" width="7.5" customWidth="1"/>
    <col min="3296" max="3296" width="7.6640625" customWidth="1"/>
    <col min="3297" max="3297" width="8.1640625" customWidth="1"/>
    <col min="3298" max="3300" width="7.5" customWidth="1"/>
    <col min="3301" max="3301" width="8.1640625" customWidth="1"/>
    <col min="3302" max="3302" width="7.5" customWidth="1"/>
    <col min="3303" max="3303" width="10.6640625" customWidth="1"/>
    <col min="3537" max="3537" width="3.1640625" customWidth="1"/>
    <col min="3538" max="3538" width="16.6640625" customWidth="1"/>
    <col min="3539" max="3539" width="9.1640625" customWidth="1"/>
    <col min="3540" max="3541" width="7.5" customWidth="1"/>
    <col min="3542" max="3542" width="8.33203125" customWidth="1"/>
    <col min="3543" max="3545" width="7.5" customWidth="1"/>
    <col min="3546" max="3546" width="8.33203125" customWidth="1"/>
    <col min="3547" max="3547" width="7.5" customWidth="1"/>
    <col min="3548" max="3548" width="3.6640625" customWidth="1"/>
    <col min="3549" max="3549" width="17.5" customWidth="1"/>
    <col min="3550" max="3551" width="7.5" customWidth="1"/>
    <col min="3552" max="3552" width="7.6640625" customWidth="1"/>
    <col min="3553" max="3553" width="8.1640625" customWidth="1"/>
    <col min="3554" max="3556" width="7.5" customWidth="1"/>
    <col min="3557" max="3557" width="8.1640625" customWidth="1"/>
    <col min="3558" max="3558" width="7.5" customWidth="1"/>
    <col min="3559" max="3559" width="10.6640625" customWidth="1"/>
    <col min="3793" max="3793" width="3.1640625" customWidth="1"/>
    <col min="3794" max="3794" width="16.6640625" customWidth="1"/>
    <col min="3795" max="3795" width="9.1640625" customWidth="1"/>
    <col min="3796" max="3797" width="7.5" customWidth="1"/>
    <col min="3798" max="3798" width="8.33203125" customWidth="1"/>
    <col min="3799" max="3801" width="7.5" customWidth="1"/>
    <col min="3802" max="3802" width="8.33203125" customWidth="1"/>
    <col min="3803" max="3803" width="7.5" customWidth="1"/>
    <col min="3804" max="3804" width="3.6640625" customWidth="1"/>
    <col min="3805" max="3805" width="17.5" customWidth="1"/>
    <col min="3806" max="3807" width="7.5" customWidth="1"/>
    <col min="3808" max="3808" width="7.6640625" customWidth="1"/>
    <col min="3809" max="3809" width="8.1640625" customWidth="1"/>
    <col min="3810" max="3812" width="7.5" customWidth="1"/>
    <col min="3813" max="3813" width="8.1640625" customWidth="1"/>
    <col min="3814" max="3814" width="7.5" customWidth="1"/>
    <col min="3815" max="3815" width="10.6640625" customWidth="1"/>
    <col min="4049" max="4049" width="3.1640625" customWidth="1"/>
    <col min="4050" max="4050" width="16.6640625" customWidth="1"/>
    <col min="4051" max="4051" width="9.1640625" customWidth="1"/>
    <col min="4052" max="4053" width="7.5" customWidth="1"/>
    <col min="4054" max="4054" width="8.33203125" customWidth="1"/>
    <col min="4055" max="4057" width="7.5" customWidth="1"/>
    <col min="4058" max="4058" width="8.33203125" customWidth="1"/>
    <col min="4059" max="4059" width="7.5" customWidth="1"/>
    <col min="4060" max="4060" width="3.6640625" customWidth="1"/>
    <col min="4061" max="4061" width="17.5" customWidth="1"/>
    <col min="4062" max="4063" width="7.5" customWidth="1"/>
    <col min="4064" max="4064" width="7.6640625" customWidth="1"/>
    <col min="4065" max="4065" width="8.1640625" customWidth="1"/>
    <col min="4066" max="4068" width="7.5" customWidth="1"/>
    <col min="4069" max="4069" width="8.1640625" customWidth="1"/>
    <col min="4070" max="4070" width="7.5" customWidth="1"/>
    <col min="4071" max="4071" width="10.6640625" customWidth="1"/>
    <col min="4305" max="4305" width="3.1640625" customWidth="1"/>
    <col min="4306" max="4306" width="16.6640625" customWidth="1"/>
    <col min="4307" max="4307" width="9.1640625" customWidth="1"/>
    <col min="4308" max="4309" width="7.5" customWidth="1"/>
    <col min="4310" max="4310" width="8.33203125" customWidth="1"/>
    <col min="4311" max="4313" width="7.5" customWidth="1"/>
    <col min="4314" max="4314" width="8.33203125" customWidth="1"/>
    <col min="4315" max="4315" width="7.5" customWidth="1"/>
    <col min="4316" max="4316" width="3.6640625" customWidth="1"/>
    <col min="4317" max="4317" width="17.5" customWidth="1"/>
    <col min="4318" max="4319" width="7.5" customWidth="1"/>
    <col min="4320" max="4320" width="7.6640625" customWidth="1"/>
    <col min="4321" max="4321" width="8.1640625" customWidth="1"/>
    <col min="4322" max="4324" width="7.5" customWidth="1"/>
    <col min="4325" max="4325" width="8.1640625" customWidth="1"/>
    <col min="4326" max="4326" width="7.5" customWidth="1"/>
    <col min="4327" max="4327" width="10.6640625" customWidth="1"/>
    <col min="4561" max="4561" width="3.1640625" customWidth="1"/>
    <col min="4562" max="4562" width="16.6640625" customWidth="1"/>
    <col min="4563" max="4563" width="9.1640625" customWidth="1"/>
    <col min="4564" max="4565" width="7.5" customWidth="1"/>
    <col min="4566" max="4566" width="8.33203125" customWidth="1"/>
    <col min="4567" max="4569" width="7.5" customWidth="1"/>
    <col min="4570" max="4570" width="8.33203125" customWidth="1"/>
    <col min="4571" max="4571" width="7.5" customWidth="1"/>
    <col min="4572" max="4572" width="3.6640625" customWidth="1"/>
    <col min="4573" max="4573" width="17.5" customWidth="1"/>
    <col min="4574" max="4575" width="7.5" customWidth="1"/>
    <col min="4576" max="4576" width="7.6640625" customWidth="1"/>
    <col min="4577" max="4577" width="8.1640625" customWidth="1"/>
    <col min="4578" max="4580" width="7.5" customWidth="1"/>
    <col min="4581" max="4581" width="8.1640625" customWidth="1"/>
    <col min="4582" max="4582" width="7.5" customWidth="1"/>
    <col min="4583" max="4583" width="10.6640625" customWidth="1"/>
    <col min="4817" max="4817" width="3.1640625" customWidth="1"/>
    <col min="4818" max="4818" width="16.6640625" customWidth="1"/>
    <col min="4819" max="4819" width="9.1640625" customWidth="1"/>
    <col min="4820" max="4821" width="7.5" customWidth="1"/>
    <col min="4822" max="4822" width="8.33203125" customWidth="1"/>
    <col min="4823" max="4825" width="7.5" customWidth="1"/>
    <col min="4826" max="4826" width="8.33203125" customWidth="1"/>
    <col min="4827" max="4827" width="7.5" customWidth="1"/>
    <col min="4828" max="4828" width="3.6640625" customWidth="1"/>
    <col min="4829" max="4829" width="17.5" customWidth="1"/>
    <col min="4830" max="4831" width="7.5" customWidth="1"/>
    <col min="4832" max="4832" width="7.6640625" customWidth="1"/>
    <col min="4833" max="4833" width="8.1640625" customWidth="1"/>
    <col min="4834" max="4836" width="7.5" customWidth="1"/>
    <col min="4837" max="4837" width="8.1640625" customWidth="1"/>
    <col min="4838" max="4838" width="7.5" customWidth="1"/>
    <col min="4839" max="4839" width="10.6640625" customWidth="1"/>
    <col min="5073" max="5073" width="3.1640625" customWidth="1"/>
    <col min="5074" max="5074" width="16.6640625" customWidth="1"/>
    <col min="5075" max="5075" width="9.1640625" customWidth="1"/>
    <col min="5076" max="5077" width="7.5" customWidth="1"/>
    <col min="5078" max="5078" width="8.33203125" customWidth="1"/>
    <col min="5079" max="5081" width="7.5" customWidth="1"/>
    <col min="5082" max="5082" width="8.33203125" customWidth="1"/>
    <col min="5083" max="5083" width="7.5" customWidth="1"/>
    <col min="5084" max="5084" width="3.6640625" customWidth="1"/>
    <col min="5085" max="5085" width="17.5" customWidth="1"/>
    <col min="5086" max="5087" width="7.5" customWidth="1"/>
    <col min="5088" max="5088" width="7.6640625" customWidth="1"/>
    <col min="5089" max="5089" width="8.1640625" customWidth="1"/>
    <col min="5090" max="5092" width="7.5" customWidth="1"/>
    <col min="5093" max="5093" width="8.1640625" customWidth="1"/>
    <col min="5094" max="5094" width="7.5" customWidth="1"/>
    <col min="5095" max="5095" width="10.6640625" customWidth="1"/>
    <col min="5329" max="5329" width="3.1640625" customWidth="1"/>
    <col min="5330" max="5330" width="16.6640625" customWidth="1"/>
    <col min="5331" max="5331" width="9.1640625" customWidth="1"/>
    <col min="5332" max="5333" width="7.5" customWidth="1"/>
    <col min="5334" max="5334" width="8.33203125" customWidth="1"/>
    <col min="5335" max="5337" width="7.5" customWidth="1"/>
    <col min="5338" max="5338" width="8.33203125" customWidth="1"/>
    <col min="5339" max="5339" width="7.5" customWidth="1"/>
    <col min="5340" max="5340" width="3.6640625" customWidth="1"/>
    <col min="5341" max="5341" width="17.5" customWidth="1"/>
    <col min="5342" max="5343" width="7.5" customWidth="1"/>
    <col min="5344" max="5344" width="7.6640625" customWidth="1"/>
    <col min="5345" max="5345" width="8.1640625" customWidth="1"/>
    <col min="5346" max="5348" width="7.5" customWidth="1"/>
    <col min="5349" max="5349" width="8.1640625" customWidth="1"/>
    <col min="5350" max="5350" width="7.5" customWidth="1"/>
    <col min="5351" max="5351" width="10.6640625" customWidth="1"/>
    <col min="5585" max="5585" width="3.1640625" customWidth="1"/>
    <col min="5586" max="5586" width="16.6640625" customWidth="1"/>
    <col min="5587" max="5587" width="9.1640625" customWidth="1"/>
    <col min="5588" max="5589" width="7.5" customWidth="1"/>
    <col min="5590" max="5590" width="8.33203125" customWidth="1"/>
    <col min="5591" max="5593" width="7.5" customWidth="1"/>
    <col min="5594" max="5594" width="8.33203125" customWidth="1"/>
    <col min="5595" max="5595" width="7.5" customWidth="1"/>
    <col min="5596" max="5596" width="3.6640625" customWidth="1"/>
    <col min="5597" max="5597" width="17.5" customWidth="1"/>
    <col min="5598" max="5599" width="7.5" customWidth="1"/>
    <col min="5600" max="5600" width="7.6640625" customWidth="1"/>
    <col min="5601" max="5601" width="8.1640625" customWidth="1"/>
    <col min="5602" max="5604" width="7.5" customWidth="1"/>
    <col min="5605" max="5605" width="8.1640625" customWidth="1"/>
    <col min="5606" max="5606" width="7.5" customWidth="1"/>
    <col min="5607" max="5607" width="10.6640625" customWidth="1"/>
    <col min="5841" max="5841" width="3.1640625" customWidth="1"/>
    <col min="5842" max="5842" width="16.6640625" customWidth="1"/>
    <col min="5843" max="5843" width="9.1640625" customWidth="1"/>
    <col min="5844" max="5845" width="7.5" customWidth="1"/>
    <col min="5846" max="5846" width="8.33203125" customWidth="1"/>
    <col min="5847" max="5849" width="7.5" customWidth="1"/>
    <col min="5850" max="5850" width="8.33203125" customWidth="1"/>
    <col min="5851" max="5851" width="7.5" customWidth="1"/>
    <col min="5852" max="5852" width="3.6640625" customWidth="1"/>
    <col min="5853" max="5853" width="17.5" customWidth="1"/>
    <col min="5854" max="5855" width="7.5" customWidth="1"/>
    <col min="5856" max="5856" width="7.6640625" customWidth="1"/>
    <col min="5857" max="5857" width="8.1640625" customWidth="1"/>
    <col min="5858" max="5860" width="7.5" customWidth="1"/>
    <col min="5861" max="5861" width="8.1640625" customWidth="1"/>
    <col min="5862" max="5862" width="7.5" customWidth="1"/>
    <col min="5863" max="5863" width="10.6640625" customWidth="1"/>
    <col min="6097" max="6097" width="3.1640625" customWidth="1"/>
    <col min="6098" max="6098" width="16.6640625" customWidth="1"/>
    <col min="6099" max="6099" width="9.1640625" customWidth="1"/>
    <col min="6100" max="6101" width="7.5" customWidth="1"/>
    <col min="6102" max="6102" width="8.33203125" customWidth="1"/>
    <col min="6103" max="6105" width="7.5" customWidth="1"/>
    <col min="6106" max="6106" width="8.33203125" customWidth="1"/>
    <col min="6107" max="6107" width="7.5" customWidth="1"/>
    <col min="6108" max="6108" width="3.6640625" customWidth="1"/>
    <col min="6109" max="6109" width="17.5" customWidth="1"/>
    <col min="6110" max="6111" width="7.5" customWidth="1"/>
    <col min="6112" max="6112" width="7.6640625" customWidth="1"/>
    <col min="6113" max="6113" width="8.1640625" customWidth="1"/>
    <col min="6114" max="6116" width="7.5" customWidth="1"/>
    <col min="6117" max="6117" width="8.1640625" customWidth="1"/>
    <col min="6118" max="6118" width="7.5" customWidth="1"/>
    <col min="6119" max="6119" width="10.6640625" customWidth="1"/>
    <col min="6353" max="6353" width="3.1640625" customWidth="1"/>
    <col min="6354" max="6354" width="16.6640625" customWidth="1"/>
    <col min="6355" max="6355" width="9.1640625" customWidth="1"/>
    <col min="6356" max="6357" width="7.5" customWidth="1"/>
    <col min="6358" max="6358" width="8.33203125" customWidth="1"/>
    <col min="6359" max="6361" width="7.5" customWidth="1"/>
    <col min="6362" max="6362" width="8.33203125" customWidth="1"/>
    <col min="6363" max="6363" width="7.5" customWidth="1"/>
    <col min="6364" max="6364" width="3.6640625" customWidth="1"/>
    <col min="6365" max="6365" width="17.5" customWidth="1"/>
    <col min="6366" max="6367" width="7.5" customWidth="1"/>
    <col min="6368" max="6368" width="7.6640625" customWidth="1"/>
    <col min="6369" max="6369" width="8.1640625" customWidth="1"/>
    <col min="6370" max="6372" width="7.5" customWidth="1"/>
    <col min="6373" max="6373" width="8.1640625" customWidth="1"/>
    <col min="6374" max="6374" width="7.5" customWidth="1"/>
    <col min="6375" max="6375" width="10.6640625" customWidth="1"/>
    <col min="6609" max="6609" width="3.1640625" customWidth="1"/>
    <col min="6610" max="6610" width="16.6640625" customWidth="1"/>
    <col min="6611" max="6611" width="9.1640625" customWidth="1"/>
    <col min="6612" max="6613" width="7.5" customWidth="1"/>
    <col min="6614" max="6614" width="8.33203125" customWidth="1"/>
    <col min="6615" max="6617" width="7.5" customWidth="1"/>
    <col min="6618" max="6618" width="8.33203125" customWidth="1"/>
    <col min="6619" max="6619" width="7.5" customWidth="1"/>
    <col min="6620" max="6620" width="3.6640625" customWidth="1"/>
    <col min="6621" max="6621" width="17.5" customWidth="1"/>
    <col min="6622" max="6623" width="7.5" customWidth="1"/>
    <col min="6624" max="6624" width="7.6640625" customWidth="1"/>
    <col min="6625" max="6625" width="8.1640625" customWidth="1"/>
    <col min="6626" max="6628" width="7.5" customWidth="1"/>
    <col min="6629" max="6629" width="8.1640625" customWidth="1"/>
    <col min="6630" max="6630" width="7.5" customWidth="1"/>
    <col min="6631" max="6631" width="10.6640625" customWidth="1"/>
    <col min="6865" max="6865" width="3.1640625" customWidth="1"/>
    <col min="6866" max="6866" width="16.6640625" customWidth="1"/>
    <col min="6867" max="6867" width="9.1640625" customWidth="1"/>
    <col min="6868" max="6869" width="7.5" customWidth="1"/>
    <col min="6870" max="6870" width="8.33203125" customWidth="1"/>
    <col min="6871" max="6873" width="7.5" customWidth="1"/>
    <col min="6874" max="6874" width="8.33203125" customWidth="1"/>
    <col min="6875" max="6875" width="7.5" customWidth="1"/>
    <col min="6876" max="6876" width="3.6640625" customWidth="1"/>
    <col min="6877" max="6877" width="17.5" customWidth="1"/>
    <col min="6878" max="6879" width="7.5" customWidth="1"/>
    <col min="6880" max="6880" width="7.6640625" customWidth="1"/>
    <col min="6881" max="6881" width="8.1640625" customWidth="1"/>
    <col min="6882" max="6884" width="7.5" customWidth="1"/>
    <col min="6885" max="6885" width="8.1640625" customWidth="1"/>
    <col min="6886" max="6886" width="7.5" customWidth="1"/>
    <col min="6887" max="6887" width="10.6640625" customWidth="1"/>
    <col min="7121" max="7121" width="3.1640625" customWidth="1"/>
    <col min="7122" max="7122" width="16.6640625" customWidth="1"/>
    <col min="7123" max="7123" width="9.1640625" customWidth="1"/>
    <col min="7124" max="7125" width="7.5" customWidth="1"/>
    <col min="7126" max="7126" width="8.33203125" customWidth="1"/>
    <col min="7127" max="7129" width="7.5" customWidth="1"/>
    <col min="7130" max="7130" width="8.33203125" customWidth="1"/>
    <col min="7131" max="7131" width="7.5" customWidth="1"/>
    <col min="7132" max="7132" width="3.6640625" customWidth="1"/>
    <col min="7133" max="7133" width="17.5" customWidth="1"/>
    <col min="7134" max="7135" width="7.5" customWidth="1"/>
    <col min="7136" max="7136" width="7.6640625" customWidth="1"/>
    <col min="7137" max="7137" width="8.1640625" customWidth="1"/>
    <col min="7138" max="7140" width="7.5" customWidth="1"/>
    <col min="7141" max="7141" width="8.1640625" customWidth="1"/>
    <col min="7142" max="7142" width="7.5" customWidth="1"/>
    <col min="7143" max="7143" width="10.6640625" customWidth="1"/>
    <col min="7377" max="7377" width="3.1640625" customWidth="1"/>
    <col min="7378" max="7378" width="16.6640625" customWidth="1"/>
    <col min="7379" max="7379" width="9.1640625" customWidth="1"/>
    <col min="7380" max="7381" width="7.5" customWidth="1"/>
    <col min="7382" max="7382" width="8.33203125" customWidth="1"/>
    <col min="7383" max="7385" width="7.5" customWidth="1"/>
    <col min="7386" max="7386" width="8.33203125" customWidth="1"/>
    <col min="7387" max="7387" width="7.5" customWidth="1"/>
    <col min="7388" max="7388" width="3.6640625" customWidth="1"/>
    <col min="7389" max="7389" width="17.5" customWidth="1"/>
    <col min="7390" max="7391" width="7.5" customWidth="1"/>
    <col min="7392" max="7392" width="7.6640625" customWidth="1"/>
    <col min="7393" max="7393" width="8.1640625" customWidth="1"/>
    <col min="7394" max="7396" width="7.5" customWidth="1"/>
    <col min="7397" max="7397" width="8.1640625" customWidth="1"/>
    <col min="7398" max="7398" width="7.5" customWidth="1"/>
    <col min="7399" max="7399" width="10.6640625" customWidth="1"/>
    <col min="7633" max="7633" width="3.1640625" customWidth="1"/>
    <col min="7634" max="7634" width="16.6640625" customWidth="1"/>
    <col min="7635" max="7635" width="9.1640625" customWidth="1"/>
    <col min="7636" max="7637" width="7.5" customWidth="1"/>
    <col min="7638" max="7638" width="8.33203125" customWidth="1"/>
    <col min="7639" max="7641" width="7.5" customWidth="1"/>
    <col min="7642" max="7642" width="8.33203125" customWidth="1"/>
    <col min="7643" max="7643" width="7.5" customWidth="1"/>
    <col min="7644" max="7644" width="3.6640625" customWidth="1"/>
    <col min="7645" max="7645" width="17.5" customWidth="1"/>
    <col min="7646" max="7647" width="7.5" customWidth="1"/>
    <col min="7648" max="7648" width="7.6640625" customWidth="1"/>
    <col min="7649" max="7649" width="8.1640625" customWidth="1"/>
    <col min="7650" max="7652" width="7.5" customWidth="1"/>
    <col min="7653" max="7653" width="8.1640625" customWidth="1"/>
    <col min="7654" max="7654" width="7.5" customWidth="1"/>
    <col min="7655" max="7655" width="10.6640625" customWidth="1"/>
    <col min="7889" max="7889" width="3.1640625" customWidth="1"/>
    <col min="7890" max="7890" width="16.6640625" customWidth="1"/>
    <col min="7891" max="7891" width="9.1640625" customWidth="1"/>
    <col min="7892" max="7893" width="7.5" customWidth="1"/>
    <col min="7894" max="7894" width="8.33203125" customWidth="1"/>
    <col min="7895" max="7897" width="7.5" customWidth="1"/>
    <col min="7898" max="7898" width="8.33203125" customWidth="1"/>
    <col min="7899" max="7899" width="7.5" customWidth="1"/>
    <col min="7900" max="7900" width="3.6640625" customWidth="1"/>
    <col min="7901" max="7901" width="17.5" customWidth="1"/>
    <col min="7902" max="7903" width="7.5" customWidth="1"/>
    <col min="7904" max="7904" width="7.6640625" customWidth="1"/>
    <col min="7905" max="7905" width="8.1640625" customWidth="1"/>
    <col min="7906" max="7908" width="7.5" customWidth="1"/>
    <col min="7909" max="7909" width="8.1640625" customWidth="1"/>
    <col min="7910" max="7910" width="7.5" customWidth="1"/>
    <col min="7911" max="7911" width="10.6640625" customWidth="1"/>
    <col min="8145" max="8145" width="3.1640625" customWidth="1"/>
    <col min="8146" max="8146" width="16.6640625" customWidth="1"/>
    <col min="8147" max="8147" width="9.1640625" customWidth="1"/>
    <col min="8148" max="8149" width="7.5" customWidth="1"/>
    <col min="8150" max="8150" width="8.33203125" customWidth="1"/>
    <col min="8151" max="8153" width="7.5" customWidth="1"/>
    <col min="8154" max="8154" width="8.33203125" customWidth="1"/>
    <col min="8155" max="8155" width="7.5" customWidth="1"/>
    <col min="8156" max="8156" width="3.6640625" customWidth="1"/>
    <col min="8157" max="8157" width="17.5" customWidth="1"/>
    <col min="8158" max="8159" width="7.5" customWidth="1"/>
    <col min="8160" max="8160" width="7.6640625" customWidth="1"/>
    <col min="8161" max="8161" width="8.1640625" customWidth="1"/>
    <col min="8162" max="8164" width="7.5" customWidth="1"/>
    <col min="8165" max="8165" width="8.1640625" customWidth="1"/>
    <col min="8166" max="8166" width="7.5" customWidth="1"/>
    <col min="8167" max="8167" width="10.6640625" customWidth="1"/>
    <col min="8401" max="8401" width="3.1640625" customWidth="1"/>
    <col min="8402" max="8402" width="16.6640625" customWidth="1"/>
    <col min="8403" max="8403" width="9.1640625" customWidth="1"/>
    <col min="8404" max="8405" width="7.5" customWidth="1"/>
    <col min="8406" max="8406" width="8.33203125" customWidth="1"/>
    <col min="8407" max="8409" width="7.5" customWidth="1"/>
    <col min="8410" max="8410" width="8.33203125" customWidth="1"/>
    <col min="8411" max="8411" width="7.5" customWidth="1"/>
    <col min="8412" max="8412" width="3.6640625" customWidth="1"/>
    <col min="8413" max="8413" width="17.5" customWidth="1"/>
    <col min="8414" max="8415" width="7.5" customWidth="1"/>
    <col min="8416" max="8416" width="7.6640625" customWidth="1"/>
    <col min="8417" max="8417" width="8.1640625" customWidth="1"/>
    <col min="8418" max="8420" width="7.5" customWidth="1"/>
    <col min="8421" max="8421" width="8.1640625" customWidth="1"/>
    <col min="8422" max="8422" width="7.5" customWidth="1"/>
    <col min="8423" max="8423" width="10.6640625" customWidth="1"/>
    <col min="8657" max="8657" width="3.1640625" customWidth="1"/>
    <col min="8658" max="8658" width="16.6640625" customWidth="1"/>
    <col min="8659" max="8659" width="9.1640625" customWidth="1"/>
    <col min="8660" max="8661" width="7.5" customWidth="1"/>
    <col min="8662" max="8662" width="8.33203125" customWidth="1"/>
    <col min="8663" max="8665" width="7.5" customWidth="1"/>
    <col min="8666" max="8666" width="8.33203125" customWidth="1"/>
    <col min="8667" max="8667" width="7.5" customWidth="1"/>
    <col min="8668" max="8668" width="3.6640625" customWidth="1"/>
    <col min="8669" max="8669" width="17.5" customWidth="1"/>
    <col min="8670" max="8671" width="7.5" customWidth="1"/>
    <col min="8672" max="8672" width="7.6640625" customWidth="1"/>
    <col min="8673" max="8673" width="8.1640625" customWidth="1"/>
    <col min="8674" max="8676" width="7.5" customWidth="1"/>
    <col min="8677" max="8677" width="8.1640625" customWidth="1"/>
    <col min="8678" max="8678" width="7.5" customWidth="1"/>
    <col min="8679" max="8679" width="10.6640625" customWidth="1"/>
    <col min="8913" max="8913" width="3.1640625" customWidth="1"/>
    <col min="8914" max="8914" width="16.6640625" customWidth="1"/>
    <col min="8915" max="8915" width="9.1640625" customWidth="1"/>
    <col min="8916" max="8917" width="7.5" customWidth="1"/>
    <col min="8918" max="8918" width="8.33203125" customWidth="1"/>
    <col min="8919" max="8921" width="7.5" customWidth="1"/>
    <col min="8922" max="8922" width="8.33203125" customWidth="1"/>
    <col min="8923" max="8923" width="7.5" customWidth="1"/>
    <col min="8924" max="8924" width="3.6640625" customWidth="1"/>
    <col min="8925" max="8925" width="17.5" customWidth="1"/>
    <col min="8926" max="8927" width="7.5" customWidth="1"/>
    <col min="8928" max="8928" width="7.6640625" customWidth="1"/>
    <col min="8929" max="8929" width="8.1640625" customWidth="1"/>
    <col min="8930" max="8932" width="7.5" customWidth="1"/>
    <col min="8933" max="8933" width="8.1640625" customWidth="1"/>
    <col min="8934" max="8934" width="7.5" customWidth="1"/>
    <col min="8935" max="8935" width="10.6640625" customWidth="1"/>
    <col min="9169" max="9169" width="3.1640625" customWidth="1"/>
    <col min="9170" max="9170" width="16.6640625" customWidth="1"/>
    <col min="9171" max="9171" width="9.1640625" customWidth="1"/>
    <col min="9172" max="9173" width="7.5" customWidth="1"/>
    <col min="9174" max="9174" width="8.33203125" customWidth="1"/>
    <col min="9175" max="9177" width="7.5" customWidth="1"/>
    <col min="9178" max="9178" width="8.33203125" customWidth="1"/>
    <col min="9179" max="9179" width="7.5" customWidth="1"/>
    <col min="9180" max="9180" width="3.6640625" customWidth="1"/>
    <col min="9181" max="9181" width="17.5" customWidth="1"/>
    <col min="9182" max="9183" width="7.5" customWidth="1"/>
    <col min="9184" max="9184" width="7.6640625" customWidth="1"/>
    <col min="9185" max="9185" width="8.1640625" customWidth="1"/>
    <col min="9186" max="9188" width="7.5" customWidth="1"/>
    <col min="9189" max="9189" width="8.1640625" customWidth="1"/>
    <col min="9190" max="9190" width="7.5" customWidth="1"/>
    <col min="9191" max="9191" width="10.6640625" customWidth="1"/>
    <col min="9425" max="9425" width="3.1640625" customWidth="1"/>
    <col min="9426" max="9426" width="16.6640625" customWidth="1"/>
    <col min="9427" max="9427" width="9.1640625" customWidth="1"/>
    <col min="9428" max="9429" width="7.5" customWidth="1"/>
    <col min="9430" max="9430" width="8.33203125" customWidth="1"/>
    <col min="9431" max="9433" width="7.5" customWidth="1"/>
    <col min="9434" max="9434" width="8.33203125" customWidth="1"/>
    <col min="9435" max="9435" width="7.5" customWidth="1"/>
    <col min="9436" max="9436" width="3.6640625" customWidth="1"/>
    <col min="9437" max="9437" width="17.5" customWidth="1"/>
    <col min="9438" max="9439" width="7.5" customWidth="1"/>
    <col min="9440" max="9440" width="7.6640625" customWidth="1"/>
    <col min="9441" max="9441" width="8.1640625" customWidth="1"/>
    <col min="9442" max="9444" width="7.5" customWidth="1"/>
    <col min="9445" max="9445" width="8.1640625" customWidth="1"/>
    <col min="9446" max="9446" width="7.5" customWidth="1"/>
    <col min="9447" max="9447" width="10.6640625" customWidth="1"/>
    <col min="9681" max="9681" width="3.1640625" customWidth="1"/>
    <col min="9682" max="9682" width="16.6640625" customWidth="1"/>
    <col min="9683" max="9683" width="9.1640625" customWidth="1"/>
    <col min="9684" max="9685" width="7.5" customWidth="1"/>
    <col min="9686" max="9686" width="8.33203125" customWidth="1"/>
    <col min="9687" max="9689" width="7.5" customWidth="1"/>
    <col min="9690" max="9690" width="8.33203125" customWidth="1"/>
    <col min="9691" max="9691" width="7.5" customWidth="1"/>
    <col min="9692" max="9692" width="3.6640625" customWidth="1"/>
    <col min="9693" max="9693" width="17.5" customWidth="1"/>
    <col min="9694" max="9695" width="7.5" customWidth="1"/>
    <col min="9696" max="9696" width="7.6640625" customWidth="1"/>
    <col min="9697" max="9697" width="8.1640625" customWidth="1"/>
    <col min="9698" max="9700" width="7.5" customWidth="1"/>
    <col min="9701" max="9701" width="8.1640625" customWidth="1"/>
    <col min="9702" max="9702" width="7.5" customWidth="1"/>
    <col min="9703" max="9703" width="10.6640625" customWidth="1"/>
    <col min="9937" max="9937" width="3.1640625" customWidth="1"/>
    <col min="9938" max="9938" width="16.6640625" customWidth="1"/>
    <col min="9939" max="9939" width="9.1640625" customWidth="1"/>
    <col min="9940" max="9941" width="7.5" customWidth="1"/>
    <col min="9942" max="9942" width="8.33203125" customWidth="1"/>
    <col min="9943" max="9945" width="7.5" customWidth="1"/>
    <col min="9946" max="9946" width="8.33203125" customWidth="1"/>
    <col min="9947" max="9947" width="7.5" customWidth="1"/>
    <col min="9948" max="9948" width="3.6640625" customWidth="1"/>
    <col min="9949" max="9949" width="17.5" customWidth="1"/>
    <col min="9950" max="9951" width="7.5" customWidth="1"/>
    <col min="9952" max="9952" width="7.6640625" customWidth="1"/>
    <col min="9953" max="9953" width="8.1640625" customWidth="1"/>
    <col min="9954" max="9956" width="7.5" customWidth="1"/>
    <col min="9957" max="9957" width="8.1640625" customWidth="1"/>
    <col min="9958" max="9958" width="7.5" customWidth="1"/>
    <col min="9959" max="9959" width="10.6640625" customWidth="1"/>
    <col min="10193" max="10193" width="3.1640625" customWidth="1"/>
    <col min="10194" max="10194" width="16.6640625" customWidth="1"/>
    <col min="10195" max="10195" width="9.1640625" customWidth="1"/>
    <col min="10196" max="10197" width="7.5" customWidth="1"/>
    <col min="10198" max="10198" width="8.33203125" customWidth="1"/>
    <col min="10199" max="10201" width="7.5" customWidth="1"/>
    <col min="10202" max="10202" width="8.33203125" customWidth="1"/>
    <col min="10203" max="10203" width="7.5" customWidth="1"/>
    <col min="10204" max="10204" width="3.6640625" customWidth="1"/>
    <col min="10205" max="10205" width="17.5" customWidth="1"/>
    <col min="10206" max="10207" width="7.5" customWidth="1"/>
    <col min="10208" max="10208" width="7.6640625" customWidth="1"/>
    <col min="10209" max="10209" width="8.1640625" customWidth="1"/>
    <col min="10210" max="10212" width="7.5" customWidth="1"/>
    <col min="10213" max="10213" width="8.1640625" customWidth="1"/>
    <col min="10214" max="10214" width="7.5" customWidth="1"/>
    <col min="10215" max="10215" width="10.6640625" customWidth="1"/>
    <col min="10449" max="10449" width="3.1640625" customWidth="1"/>
    <col min="10450" max="10450" width="16.6640625" customWidth="1"/>
    <col min="10451" max="10451" width="9.1640625" customWidth="1"/>
    <col min="10452" max="10453" width="7.5" customWidth="1"/>
    <col min="10454" max="10454" width="8.33203125" customWidth="1"/>
    <col min="10455" max="10457" width="7.5" customWidth="1"/>
    <col min="10458" max="10458" width="8.33203125" customWidth="1"/>
    <col min="10459" max="10459" width="7.5" customWidth="1"/>
    <col min="10460" max="10460" width="3.6640625" customWidth="1"/>
    <col min="10461" max="10461" width="17.5" customWidth="1"/>
    <col min="10462" max="10463" width="7.5" customWidth="1"/>
    <col min="10464" max="10464" width="7.6640625" customWidth="1"/>
    <col min="10465" max="10465" width="8.1640625" customWidth="1"/>
    <col min="10466" max="10468" width="7.5" customWidth="1"/>
    <col min="10469" max="10469" width="8.1640625" customWidth="1"/>
    <col min="10470" max="10470" width="7.5" customWidth="1"/>
    <col min="10471" max="10471" width="10.6640625" customWidth="1"/>
    <col min="10705" max="10705" width="3.1640625" customWidth="1"/>
    <col min="10706" max="10706" width="16.6640625" customWidth="1"/>
    <col min="10707" max="10707" width="9.1640625" customWidth="1"/>
    <col min="10708" max="10709" width="7.5" customWidth="1"/>
    <col min="10710" max="10710" width="8.33203125" customWidth="1"/>
    <col min="10711" max="10713" width="7.5" customWidth="1"/>
    <col min="10714" max="10714" width="8.33203125" customWidth="1"/>
    <col min="10715" max="10715" width="7.5" customWidth="1"/>
    <col min="10716" max="10716" width="3.6640625" customWidth="1"/>
    <col min="10717" max="10717" width="17.5" customWidth="1"/>
    <col min="10718" max="10719" width="7.5" customWidth="1"/>
    <col min="10720" max="10720" width="7.6640625" customWidth="1"/>
    <col min="10721" max="10721" width="8.1640625" customWidth="1"/>
    <col min="10722" max="10724" width="7.5" customWidth="1"/>
    <col min="10725" max="10725" width="8.1640625" customWidth="1"/>
    <col min="10726" max="10726" width="7.5" customWidth="1"/>
    <col min="10727" max="10727" width="10.6640625" customWidth="1"/>
    <col min="10961" max="10961" width="3.1640625" customWidth="1"/>
    <col min="10962" max="10962" width="16.6640625" customWidth="1"/>
    <col min="10963" max="10963" width="9.1640625" customWidth="1"/>
    <col min="10964" max="10965" width="7.5" customWidth="1"/>
    <col min="10966" max="10966" width="8.33203125" customWidth="1"/>
    <col min="10967" max="10969" width="7.5" customWidth="1"/>
    <col min="10970" max="10970" width="8.33203125" customWidth="1"/>
    <col min="10971" max="10971" width="7.5" customWidth="1"/>
    <col min="10972" max="10972" width="3.6640625" customWidth="1"/>
    <col min="10973" max="10973" width="17.5" customWidth="1"/>
    <col min="10974" max="10975" width="7.5" customWidth="1"/>
    <col min="10976" max="10976" width="7.6640625" customWidth="1"/>
    <col min="10977" max="10977" width="8.1640625" customWidth="1"/>
    <col min="10978" max="10980" width="7.5" customWidth="1"/>
    <col min="10981" max="10981" width="8.1640625" customWidth="1"/>
    <col min="10982" max="10982" width="7.5" customWidth="1"/>
    <col min="10983" max="10983" width="10.6640625" customWidth="1"/>
    <col min="11217" max="11217" width="3.1640625" customWidth="1"/>
    <col min="11218" max="11218" width="16.6640625" customWidth="1"/>
    <col min="11219" max="11219" width="9.1640625" customWidth="1"/>
    <col min="11220" max="11221" width="7.5" customWidth="1"/>
    <col min="11222" max="11222" width="8.33203125" customWidth="1"/>
    <col min="11223" max="11225" width="7.5" customWidth="1"/>
    <col min="11226" max="11226" width="8.33203125" customWidth="1"/>
    <col min="11227" max="11227" width="7.5" customWidth="1"/>
    <col min="11228" max="11228" width="3.6640625" customWidth="1"/>
    <col min="11229" max="11229" width="17.5" customWidth="1"/>
    <col min="11230" max="11231" width="7.5" customWidth="1"/>
    <col min="11232" max="11232" width="7.6640625" customWidth="1"/>
    <col min="11233" max="11233" width="8.1640625" customWidth="1"/>
    <col min="11234" max="11236" width="7.5" customWidth="1"/>
    <col min="11237" max="11237" width="8.1640625" customWidth="1"/>
    <col min="11238" max="11238" width="7.5" customWidth="1"/>
    <col min="11239" max="11239" width="10.6640625" customWidth="1"/>
    <col min="11473" max="11473" width="3.1640625" customWidth="1"/>
    <col min="11474" max="11474" width="16.6640625" customWidth="1"/>
    <col min="11475" max="11475" width="9.1640625" customWidth="1"/>
    <col min="11476" max="11477" width="7.5" customWidth="1"/>
    <col min="11478" max="11478" width="8.33203125" customWidth="1"/>
    <col min="11479" max="11481" width="7.5" customWidth="1"/>
    <col min="11482" max="11482" width="8.33203125" customWidth="1"/>
    <col min="11483" max="11483" width="7.5" customWidth="1"/>
    <col min="11484" max="11484" width="3.6640625" customWidth="1"/>
    <col min="11485" max="11485" width="17.5" customWidth="1"/>
    <col min="11486" max="11487" width="7.5" customWidth="1"/>
    <col min="11488" max="11488" width="7.6640625" customWidth="1"/>
    <col min="11489" max="11489" width="8.1640625" customWidth="1"/>
    <col min="11490" max="11492" width="7.5" customWidth="1"/>
    <col min="11493" max="11493" width="8.1640625" customWidth="1"/>
    <col min="11494" max="11494" width="7.5" customWidth="1"/>
    <col min="11495" max="11495" width="10.6640625" customWidth="1"/>
    <col min="11729" max="11729" width="3.1640625" customWidth="1"/>
    <col min="11730" max="11730" width="16.6640625" customWidth="1"/>
    <col min="11731" max="11731" width="9.1640625" customWidth="1"/>
    <col min="11732" max="11733" width="7.5" customWidth="1"/>
    <col min="11734" max="11734" width="8.33203125" customWidth="1"/>
    <col min="11735" max="11737" width="7.5" customWidth="1"/>
    <col min="11738" max="11738" width="8.33203125" customWidth="1"/>
    <col min="11739" max="11739" width="7.5" customWidth="1"/>
    <col min="11740" max="11740" width="3.6640625" customWidth="1"/>
    <col min="11741" max="11741" width="17.5" customWidth="1"/>
    <col min="11742" max="11743" width="7.5" customWidth="1"/>
    <col min="11744" max="11744" width="7.6640625" customWidth="1"/>
    <col min="11745" max="11745" width="8.1640625" customWidth="1"/>
    <col min="11746" max="11748" width="7.5" customWidth="1"/>
    <col min="11749" max="11749" width="8.1640625" customWidth="1"/>
    <col min="11750" max="11750" width="7.5" customWidth="1"/>
    <col min="11751" max="11751" width="10.6640625" customWidth="1"/>
    <col min="11985" max="11985" width="3.1640625" customWidth="1"/>
    <col min="11986" max="11986" width="16.6640625" customWidth="1"/>
    <col min="11987" max="11987" width="9.1640625" customWidth="1"/>
    <col min="11988" max="11989" width="7.5" customWidth="1"/>
    <col min="11990" max="11990" width="8.33203125" customWidth="1"/>
    <col min="11991" max="11993" width="7.5" customWidth="1"/>
    <col min="11994" max="11994" width="8.33203125" customWidth="1"/>
    <col min="11995" max="11995" width="7.5" customWidth="1"/>
    <col min="11996" max="11996" width="3.6640625" customWidth="1"/>
    <col min="11997" max="11997" width="17.5" customWidth="1"/>
    <col min="11998" max="11999" width="7.5" customWidth="1"/>
    <col min="12000" max="12000" width="7.6640625" customWidth="1"/>
    <col min="12001" max="12001" width="8.1640625" customWidth="1"/>
    <col min="12002" max="12004" width="7.5" customWidth="1"/>
    <col min="12005" max="12005" width="8.1640625" customWidth="1"/>
    <col min="12006" max="12006" width="7.5" customWidth="1"/>
    <col min="12007" max="12007" width="10.6640625" customWidth="1"/>
    <col min="12241" max="12241" width="3.1640625" customWidth="1"/>
    <col min="12242" max="12242" width="16.6640625" customWidth="1"/>
    <col min="12243" max="12243" width="9.1640625" customWidth="1"/>
    <col min="12244" max="12245" width="7.5" customWidth="1"/>
    <col min="12246" max="12246" width="8.33203125" customWidth="1"/>
    <col min="12247" max="12249" width="7.5" customWidth="1"/>
    <col min="12250" max="12250" width="8.33203125" customWidth="1"/>
    <col min="12251" max="12251" width="7.5" customWidth="1"/>
    <col min="12252" max="12252" width="3.6640625" customWidth="1"/>
    <col min="12253" max="12253" width="17.5" customWidth="1"/>
    <col min="12254" max="12255" width="7.5" customWidth="1"/>
    <col min="12256" max="12256" width="7.6640625" customWidth="1"/>
    <col min="12257" max="12257" width="8.1640625" customWidth="1"/>
    <col min="12258" max="12260" width="7.5" customWidth="1"/>
    <col min="12261" max="12261" width="8.1640625" customWidth="1"/>
    <col min="12262" max="12262" width="7.5" customWidth="1"/>
    <col min="12263" max="12263" width="10.6640625" customWidth="1"/>
    <col min="12497" max="12497" width="3.1640625" customWidth="1"/>
    <col min="12498" max="12498" width="16.6640625" customWidth="1"/>
    <col min="12499" max="12499" width="9.1640625" customWidth="1"/>
    <col min="12500" max="12501" width="7.5" customWidth="1"/>
    <col min="12502" max="12502" width="8.33203125" customWidth="1"/>
    <col min="12503" max="12505" width="7.5" customWidth="1"/>
    <col min="12506" max="12506" width="8.33203125" customWidth="1"/>
    <col min="12507" max="12507" width="7.5" customWidth="1"/>
    <col min="12508" max="12508" width="3.6640625" customWidth="1"/>
    <col min="12509" max="12509" width="17.5" customWidth="1"/>
    <col min="12510" max="12511" width="7.5" customWidth="1"/>
    <col min="12512" max="12512" width="7.6640625" customWidth="1"/>
    <col min="12513" max="12513" width="8.1640625" customWidth="1"/>
    <col min="12514" max="12516" width="7.5" customWidth="1"/>
    <col min="12517" max="12517" width="8.1640625" customWidth="1"/>
    <col min="12518" max="12518" width="7.5" customWidth="1"/>
    <col min="12519" max="12519" width="10.6640625" customWidth="1"/>
    <col min="12753" max="12753" width="3.1640625" customWidth="1"/>
    <col min="12754" max="12754" width="16.6640625" customWidth="1"/>
    <col min="12755" max="12755" width="9.1640625" customWidth="1"/>
    <col min="12756" max="12757" width="7.5" customWidth="1"/>
    <col min="12758" max="12758" width="8.33203125" customWidth="1"/>
    <col min="12759" max="12761" width="7.5" customWidth="1"/>
    <col min="12762" max="12762" width="8.33203125" customWidth="1"/>
    <col min="12763" max="12763" width="7.5" customWidth="1"/>
    <col min="12764" max="12764" width="3.6640625" customWidth="1"/>
    <col min="12765" max="12765" width="17.5" customWidth="1"/>
    <col min="12766" max="12767" width="7.5" customWidth="1"/>
    <col min="12768" max="12768" width="7.6640625" customWidth="1"/>
    <col min="12769" max="12769" width="8.1640625" customWidth="1"/>
    <col min="12770" max="12772" width="7.5" customWidth="1"/>
    <col min="12773" max="12773" width="8.1640625" customWidth="1"/>
    <col min="12774" max="12774" width="7.5" customWidth="1"/>
    <col min="12775" max="12775" width="10.6640625" customWidth="1"/>
    <col min="13009" max="13009" width="3.1640625" customWidth="1"/>
    <col min="13010" max="13010" width="16.6640625" customWidth="1"/>
    <col min="13011" max="13011" width="9.1640625" customWidth="1"/>
    <col min="13012" max="13013" width="7.5" customWidth="1"/>
    <col min="13014" max="13014" width="8.33203125" customWidth="1"/>
    <col min="13015" max="13017" width="7.5" customWidth="1"/>
    <col min="13018" max="13018" width="8.33203125" customWidth="1"/>
    <col min="13019" max="13019" width="7.5" customWidth="1"/>
    <col min="13020" max="13020" width="3.6640625" customWidth="1"/>
    <col min="13021" max="13021" width="17.5" customWidth="1"/>
    <col min="13022" max="13023" width="7.5" customWidth="1"/>
    <col min="13024" max="13024" width="7.6640625" customWidth="1"/>
    <col min="13025" max="13025" width="8.1640625" customWidth="1"/>
    <col min="13026" max="13028" width="7.5" customWidth="1"/>
    <col min="13029" max="13029" width="8.1640625" customWidth="1"/>
    <col min="13030" max="13030" width="7.5" customWidth="1"/>
    <col min="13031" max="13031" width="10.6640625" customWidth="1"/>
    <col min="13265" max="13265" width="3.1640625" customWidth="1"/>
    <col min="13266" max="13266" width="16.6640625" customWidth="1"/>
    <col min="13267" max="13267" width="9.1640625" customWidth="1"/>
    <col min="13268" max="13269" width="7.5" customWidth="1"/>
    <col min="13270" max="13270" width="8.33203125" customWidth="1"/>
    <col min="13271" max="13273" width="7.5" customWidth="1"/>
    <col min="13274" max="13274" width="8.33203125" customWidth="1"/>
    <col min="13275" max="13275" width="7.5" customWidth="1"/>
    <col min="13276" max="13276" width="3.6640625" customWidth="1"/>
    <col min="13277" max="13277" width="17.5" customWidth="1"/>
    <col min="13278" max="13279" width="7.5" customWidth="1"/>
    <col min="13280" max="13280" width="7.6640625" customWidth="1"/>
    <col min="13281" max="13281" width="8.1640625" customWidth="1"/>
    <col min="13282" max="13284" width="7.5" customWidth="1"/>
    <col min="13285" max="13285" width="8.1640625" customWidth="1"/>
    <col min="13286" max="13286" width="7.5" customWidth="1"/>
    <col min="13287" max="13287" width="10.6640625" customWidth="1"/>
    <col min="13521" max="13521" width="3.1640625" customWidth="1"/>
    <col min="13522" max="13522" width="16.6640625" customWidth="1"/>
    <col min="13523" max="13523" width="9.1640625" customWidth="1"/>
    <col min="13524" max="13525" width="7.5" customWidth="1"/>
    <col min="13526" max="13526" width="8.33203125" customWidth="1"/>
    <col min="13527" max="13529" width="7.5" customWidth="1"/>
    <col min="13530" max="13530" width="8.33203125" customWidth="1"/>
    <col min="13531" max="13531" width="7.5" customWidth="1"/>
    <col min="13532" max="13532" width="3.6640625" customWidth="1"/>
    <col min="13533" max="13533" width="17.5" customWidth="1"/>
    <col min="13534" max="13535" width="7.5" customWidth="1"/>
    <col min="13536" max="13536" width="7.6640625" customWidth="1"/>
    <col min="13537" max="13537" width="8.1640625" customWidth="1"/>
    <col min="13538" max="13540" width="7.5" customWidth="1"/>
    <col min="13541" max="13541" width="8.1640625" customWidth="1"/>
    <col min="13542" max="13542" width="7.5" customWidth="1"/>
    <col min="13543" max="13543" width="10.6640625" customWidth="1"/>
    <col min="13777" max="13777" width="3.1640625" customWidth="1"/>
    <col min="13778" max="13778" width="16.6640625" customWidth="1"/>
    <col min="13779" max="13779" width="9.1640625" customWidth="1"/>
    <col min="13780" max="13781" width="7.5" customWidth="1"/>
    <col min="13782" max="13782" width="8.33203125" customWidth="1"/>
    <col min="13783" max="13785" width="7.5" customWidth="1"/>
    <col min="13786" max="13786" width="8.33203125" customWidth="1"/>
    <col min="13787" max="13787" width="7.5" customWidth="1"/>
    <col min="13788" max="13788" width="3.6640625" customWidth="1"/>
    <col min="13789" max="13789" width="17.5" customWidth="1"/>
    <col min="13790" max="13791" width="7.5" customWidth="1"/>
    <col min="13792" max="13792" width="7.6640625" customWidth="1"/>
    <col min="13793" max="13793" width="8.1640625" customWidth="1"/>
    <col min="13794" max="13796" width="7.5" customWidth="1"/>
    <col min="13797" max="13797" width="8.1640625" customWidth="1"/>
    <col min="13798" max="13798" width="7.5" customWidth="1"/>
    <col min="13799" max="13799" width="10.6640625" customWidth="1"/>
    <col min="14033" max="14033" width="3.1640625" customWidth="1"/>
    <col min="14034" max="14034" width="16.6640625" customWidth="1"/>
    <col min="14035" max="14035" width="9.1640625" customWidth="1"/>
    <col min="14036" max="14037" width="7.5" customWidth="1"/>
    <col min="14038" max="14038" width="8.33203125" customWidth="1"/>
    <col min="14039" max="14041" width="7.5" customWidth="1"/>
    <col min="14042" max="14042" width="8.33203125" customWidth="1"/>
    <col min="14043" max="14043" width="7.5" customWidth="1"/>
    <col min="14044" max="14044" width="3.6640625" customWidth="1"/>
    <col min="14045" max="14045" width="17.5" customWidth="1"/>
    <col min="14046" max="14047" width="7.5" customWidth="1"/>
    <col min="14048" max="14048" width="7.6640625" customWidth="1"/>
    <col min="14049" max="14049" width="8.1640625" customWidth="1"/>
    <col min="14050" max="14052" width="7.5" customWidth="1"/>
    <col min="14053" max="14053" width="8.1640625" customWidth="1"/>
    <col min="14054" max="14054" width="7.5" customWidth="1"/>
    <col min="14055" max="14055" width="10.6640625" customWidth="1"/>
    <col min="14289" max="14289" width="3.1640625" customWidth="1"/>
    <col min="14290" max="14290" width="16.6640625" customWidth="1"/>
    <col min="14291" max="14291" width="9.1640625" customWidth="1"/>
    <col min="14292" max="14293" width="7.5" customWidth="1"/>
    <col min="14294" max="14294" width="8.33203125" customWidth="1"/>
    <col min="14295" max="14297" width="7.5" customWidth="1"/>
    <col min="14298" max="14298" width="8.33203125" customWidth="1"/>
    <col min="14299" max="14299" width="7.5" customWidth="1"/>
    <col min="14300" max="14300" width="3.6640625" customWidth="1"/>
    <col min="14301" max="14301" width="17.5" customWidth="1"/>
    <col min="14302" max="14303" width="7.5" customWidth="1"/>
    <col min="14304" max="14304" width="7.6640625" customWidth="1"/>
    <col min="14305" max="14305" width="8.1640625" customWidth="1"/>
    <col min="14306" max="14308" width="7.5" customWidth="1"/>
    <col min="14309" max="14309" width="8.1640625" customWidth="1"/>
    <col min="14310" max="14310" width="7.5" customWidth="1"/>
    <col min="14311" max="14311" width="10.6640625" customWidth="1"/>
    <col min="14545" max="14545" width="3.1640625" customWidth="1"/>
    <col min="14546" max="14546" width="16.6640625" customWidth="1"/>
    <col min="14547" max="14547" width="9.1640625" customWidth="1"/>
    <col min="14548" max="14549" width="7.5" customWidth="1"/>
    <col min="14550" max="14550" width="8.33203125" customWidth="1"/>
    <col min="14551" max="14553" width="7.5" customWidth="1"/>
    <col min="14554" max="14554" width="8.33203125" customWidth="1"/>
    <col min="14555" max="14555" width="7.5" customWidth="1"/>
    <col min="14556" max="14556" width="3.6640625" customWidth="1"/>
    <col min="14557" max="14557" width="17.5" customWidth="1"/>
    <col min="14558" max="14559" width="7.5" customWidth="1"/>
    <col min="14560" max="14560" width="7.6640625" customWidth="1"/>
    <col min="14561" max="14561" width="8.1640625" customWidth="1"/>
    <col min="14562" max="14564" width="7.5" customWidth="1"/>
    <col min="14565" max="14565" width="8.1640625" customWidth="1"/>
    <col min="14566" max="14566" width="7.5" customWidth="1"/>
    <col min="14567" max="14567" width="10.6640625" customWidth="1"/>
    <col min="14801" max="14801" width="3.1640625" customWidth="1"/>
    <col min="14802" max="14802" width="16.6640625" customWidth="1"/>
    <col min="14803" max="14803" width="9.1640625" customWidth="1"/>
    <col min="14804" max="14805" width="7.5" customWidth="1"/>
    <col min="14806" max="14806" width="8.33203125" customWidth="1"/>
    <col min="14807" max="14809" width="7.5" customWidth="1"/>
    <col min="14810" max="14810" width="8.33203125" customWidth="1"/>
    <col min="14811" max="14811" width="7.5" customWidth="1"/>
    <col min="14812" max="14812" width="3.6640625" customWidth="1"/>
    <col min="14813" max="14813" width="17.5" customWidth="1"/>
    <col min="14814" max="14815" width="7.5" customWidth="1"/>
    <col min="14816" max="14816" width="7.6640625" customWidth="1"/>
    <col min="14817" max="14817" width="8.1640625" customWidth="1"/>
    <col min="14818" max="14820" width="7.5" customWidth="1"/>
    <col min="14821" max="14821" width="8.1640625" customWidth="1"/>
    <col min="14822" max="14822" width="7.5" customWidth="1"/>
    <col min="14823" max="14823" width="10.6640625" customWidth="1"/>
    <col min="15057" max="15057" width="3.1640625" customWidth="1"/>
    <col min="15058" max="15058" width="16.6640625" customWidth="1"/>
    <col min="15059" max="15059" width="9.1640625" customWidth="1"/>
    <col min="15060" max="15061" width="7.5" customWidth="1"/>
    <col min="15062" max="15062" width="8.33203125" customWidth="1"/>
    <col min="15063" max="15065" width="7.5" customWidth="1"/>
    <col min="15066" max="15066" width="8.33203125" customWidth="1"/>
    <col min="15067" max="15067" width="7.5" customWidth="1"/>
    <col min="15068" max="15068" width="3.6640625" customWidth="1"/>
    <col min="15069" max="15069" width="17.5" customWidth="1"/>
    <col min="15070" max="15071" width="7.5" customWidth="1"/>
    <col min="15072" max="15072" width="7.6640625" customWidth="1"/>
    <col min="15073" max="15073" width="8.1640625" customWidth="1"/>
    <col min="15074" max="15076" width="7.5" customWidth="1"/>
    <col min="15077" max="15077" width="8.1640625" customWidth="1"/>
    <col min="15078" max="15078" width="7.5" customWidth="1"/>
    <col min="15079" max="15079" width="10.6640625" customWidth="1"/>
    <col min="15313" max="15313" width="3.1640625" customWidth="1"/>
    <col min="15314" max="15314" width="16.6640625" customWidth="1"/>
    <col min="15315" max="15315" width="9.1640625" customWidth="1"/>
    <col min="15316" max="15317" width="7.5" customWidth="1"/>
    <col min="15318" max="15318" width="8.33203125" customWidth="1"/>
    <col min="15319" max="15321" width="7.5" customWidth="1"/>
    <col min="15322" max="15322" width="8.33203125" customWidth="1"/>
    <col min="15323" max="15323" width="7.5" customWidth="1"/>
    <col min="15324" max="15324" width="3.6640625" customWidth="1"/>
    <col min="15325" max="15325" width="17.5" customWidth="1"/>
    <col min="15326" max="15327" width="7.5" customWidth="1"/>
    <col min="15328" max="15328" width="7.6640625" customWidth="1"/>
    <col min="15329" max="15329" width="8.1640625" customWidth="1"/>
    <col min="15330" max="15332" width="7.5" customWidth="1"/>
    <col min="15333" max="15333" width="8.1640625" customWidth="1"/>
    <col min="15334" max="15334" width="7.5" customWidth="1"/>
    <col min="15335" max="15335" width="10.6640625" customWidth="1"/>
    <col min="15569" max="15569" width="3.1640625" customWidth="1"/>
    <col min="15570" max="15570" width="16.6640625" customWidth="1"/>
    <col min="15571" max="15571" width="9.1640625" customWidth="1"/>
    <col min="15572" max="15573" width="7.5" customWidth="1"/>
    <col min="15574" max="15574" width="8.33203125" customWidth="1"/>
    <col min="15575" max="15577" width="7.5" customWidth="1"/>
    <col min="15578" max="15578" width="8.33203125" customWidth="1"/>
    <col min="15579" max="15579" width="7.5" customWidth="1"/>
    <col min="15580" max="15580" width="3.6640625" customWidth="1"/>
    <col min="15581" max="15581" width="17.5" customWidth="1"/>
    <col min="15582" max="15583" width="7.5" customWidth="1"/>
    <col min="15584" max="15584" width="7.6640625" customWidth="1"/>
    <col min="15585" max="15585" width="8.1640625" customWidth="1"/>
    <col min="15586" max="15588" width="7.5" customWidth="1"/>
    <col min="15589" max="15589" width="8.1640625" customWidth="1"/>
    <col min="15590" max="15590" width="7.5" customWidth="1"/>
    <col min="15591" max="15591" width="10.6640625" customWidth="1"/>
    <col min="15825" max="15825" width="3.1640625" customWidth="1"/>
    <col min="15826" max="15826" width="16.6640625" customWidth="1"/>
    <col min="15827" max="15827" width="9.1640625" customWidth="1"/>
    <col min="15828" max="15829" width="7.5" customWidth="1"/>
    <col min="15830" max="15830" width="8.33203125" customWidth="1"/>
    <col min="15831" max="15833" width="7.5" customWidth="1"/>
    <col min="15834" max="15834" width="8.33203125" customWidth="1"/>
    <col min="15835" max="15835" width="7.5" customWidth="1"/>
    <col min="15836" max="15836" width="3.6640625" customWidth="1"/>
    <col min="15837" max="15837" width="17.5" customWidth="1"/>
    <col min="15838" max="15839" width="7.5" customWidth="1"/>
    <col min="15840" max="15840" width="7.6640625" customWidth="1"/>
    <col min="15841" max="15841" width="8.1640625" customWidth="1"/>
    <col min="15842" max="15844" width="7.5" customWidth="1"/>
    <col min="15845" max="15845" width="8.1640625" customWidth="1"/>
    <col min="15846" max="15846" width="7.5" customWidth="1"/>
    <col min="15847" max="15847" width="10.6640625" customWidth="1"/>
    <col min="16081" max="16081" width="3.1640625" customWidth="1"/>
    <col min="16082" max="16082" width="16.6640625" customWidth="1"/>
    <col min="16083" max="16083" width="9.1640625" customWidth="1"/>
    <col min="16084" max="16085" width="7.5" customWidth="1"/>
    <col min="16086" max="16086" width="8.33203125" customWidth="1"/>
    <col min="16087" max="16089" width="7.5" customWidth="1"/>
    <col min="16090" max="16090" width="8.33203125" customWidth="1"/>
    <col min="16091" max="16091" width="7.5" customWidth="1"/>
    <col min="16092" max="16092" width="3.6640625" customWidth="1"/>
    <col min="16093" max="16093" width="17.5" customWidth="1"/>
    <col min="16094" max="16095" width="7.5" customWidth="1"/>
    <col min="16096" max="16096" width="7.6640625" customWidth="1"/>
    <col min="16097" max="16097" width="8.1640625" customWidth="1"/>
    <col min="16098" max="16100" width="7.5" customWidth="1"/>
    <col min="16101" max="16101" width="8.1640625" customWidth="1"/>
    <col min="16102" max="16102" width="7.5" customWidth="1"/>
    <col min="16103" max="16103" width="10.6640625" customWidth="1"/>
  </cols>
  <sheetData>
    <row r="1" spans="1:22" ht="18.75">
      <c r="A1" s="228" t="s">
        <v>523</v>
      </c>
      <c r="C1" s="59"/>
      <c r="D1" s="59"/>
      <c r="E1" s="59"/>
      <c r="F1" s="59"/>
      <c r="G1" s="59"/>
      <c r="H1" s="59"/>
      <c r="I1" s="59"/>
      <c r="J1" s="59"/>
      <c r="K1" s="59"/>
      <c r="L1" s="59"/>
      <c r="M1" s="59"/>
      <c r="N1" s="59"/>
      <c r="O1" s="59"/>
      <c r="P1" s="185"/>
      <c r="Q1" s="185"/>
      <c r="R1" s="185"/>
      <c r="S1" s="185"/>
      <c r="T1" s="185"/>
      <c r="U1" s="185"/>
      <c r="V1" s="185"/>
    </row>
    <row r="2" spans="1:22" ht="11.25">
      <c r="B2" s="57"/>
      <c r="C2" s="57"/>
      <c r="D2" s="57"/>
      <c r="E2" s="59"/>
      <c r="F2" s="57"/>
      <c r="G2" s="57"/>
      <c r="H2" s="59"/>
      <c r="I2" s="57"/>
      <c r="J2" s="57"/>
      <c r="K2" s="57"/>
      <c r="L2" s="57"/>
      <c r="M2" s="57"/>
      <c r="N2" s="57"/>
      <c r="O2" s="59"/>
    </row>
    <row r="3" spans="1:22" ht="11.25">
      <c r="B3" s="874" t="s">
        <v>1018</v>
      </c>
      <c r="C3" s="26"/>
      <c r="D3" s="57"/>
      <c r="E3" s="59"/>
      <c r="F3" s="57"/>
      <c r="G3" s="57"/>
      <c r="H3" s="59"/>
      <c r="I3" s="57"/>
      <c r="J3" s="57"/>
      <c r="K3" s="57"/>
      <c r="L3" s="57"/>
      <c r="M3" s="57"/>
      <c r="N3" s="57"/>
      <c r="O3" s="59"/>
    </row>
    <row r="4" spans="1:22" ht="11.25">
      <c r="B4" s="500"/>
      <c r="C4" s="57"/>
      <c r="D4" s="57"/>
      <c r="E4" s="59"/>
      <c r="F4" s="57"/>
      <c r="G4" s="57"/>
      <c r="H4" s="59"/>
      <c r="I4" s="57"/>
      <c r="J4" s="57"/>
      <c r="K4" s="57"/>
      <c r="L4" s="57"/>
      <c r="M4" s="57"/>
      <c r="N4" s="57"/>
      <c r="O4" s="59"/>
    </row>
    <row r="5" spans="1:22" ht="11.25" hidden="1">
      <c r="B5" s="57"/>
      <c r="C5" s="57"/>
      <c r="D5" s="57"/>
      <c r="E5" s="59"/>
      <c r="F5" s="57"/>
      <c r="G5" s="57"/>
      <c r="H5" s="59"/>
      <c r="I5" s="57"/>
      <c r="J5" s="57"/>
      <c r="K5" s="57"/>
      <c r="L5" s="57"/>
      <c r="M5" s="57"/>
      <c r="N5" s="57"/>
      <c r="O5" s="59"/>
    </row>
    <row r="6" spans="1:22" ht="11.25" hidden="1">
      <c r="B6" s="1012">
        <v>43101</v>
      </c>
      <c r="C6" s="951"/>
      <c r="D6" s="1012"/>
      <c r="E6" s="1012"/>
      <c r="F6" s="1012"/>
      <c r="G6" s="1012"/>
      <c r="H6" s="1012"/>
      <c r="I6" s="1012"/>
      <c r="J6" s="1012"/>
      <c r="K6" s="1012"/>
      <c r="L6" s="57"/>
      <c r="M6" s="57"/>
      <c r="N6" s="1601"/>
      <c r="O6" s="1601"/>
      <c r="P6" s="1601"/>
      <c r="Q6" s="1601"/>
      <c r="R6" s="1601"/>
      <c r="S6" s="1601"/>
      <c r="T6" s="1601"/>
      <c r="U6" s="1601"/>
      <c r="V6" s="1601"/>
    </row>
    <row r="7" spans="1:22" ht="9.4" hidden="1" customHeight="1">
      <c r="B7" s="231"/>
      <c r="C7" s="57"/>
      <c r="D7" s="59"/>
      <c r="L7" s="57"/>
      <c r="M7" s="57"/>
      <c r="N7" s="57"/>
      <c r="O7" s="59"/>
    </row>
    <row r="8" spans="1:22" s="139" customFormat="1" ht="28.5" hidden="1" customHeight="1">
      <c r="B8" s="473"/>
      <c r="C8" s="474" t="s">
        <v>119</v>
      </c>
      <c r="D8" s="474" t="s">
        <v>14</v>
      </c>
      <c r="E8" s="474" t="s">
        <v>63</v>
      </c>
      <c r="F8" s="474" t="s">
        <v>92</v>
      </c>
      <c r="G8" s="474" t="s">
        <v>48</v>
      </c>
      <c r="H8" s="474" t="s">
        <v>234</v>
      </c>
      <c r="I8" s="474" t="s">
        <v>115</v>
      </c>
      <c r="J8" s="186" t="s">
        <v>47</v>
      </c>
      <c r="K8" s="187" t="s">
        <v>116</v>
      </c>
      <c r="M8" s="274"/>
      <c r="N8" s="917"/>
      <c r="O8" s="917"/>
      <c r="P8" s="917"/>
      <c r="Q8" s="917"/>
      <c r="R8" s="917"/>
      <c r="S8" s="917"/>
      <c r="T8" s="917"/>
      <c r="U8" s="265"/>
      <c r="V8" s="918"/>
    </row>
    <row r="9" spans="1:22" s="139" customFormat="1" ht="28.5" hidden="1" customHeight="1">
      <c r="B9" s="303" t="s">
        <v>298</v>
      </c>
      <c r="C9" s="725">
        <v>38.700000000000003</v>
      </c>
      <c r="D9" s="725">
        <v>117.1</v>
      </c>
      <c r="E9" s="725"/>
      <c r="F9" s="725"/>
      <c r="G9" s="725">
        <v>24.7</v>
      </c>
      <c r="H9" s="725">
        <v>23.1</v>
      </c>
      <c r="I9" s="725">
        <v>6.3</v>
      </c>
      <c r="J9" s="726">
        <f>SUM(C9:I9)</f>
        <v>209.9</v>
      </c>
      <c r="K9" s="1027">
        <f>J9/$J$13</f>
        <v>0.366701607267645</v>
      </c>
      <c r="M9" s="919"/>
      <c r="N9" s="920"/>
      <c r="O9" s="920"/>
      <c r="P9" s="920"/>
      <c r="Q9" s="920"/>
      <c r="R9" s="920"/>
      <c r="S9" s="920"/>
      <c r="T9" s="920"/>
      <c r="U9" s="921"/>
      <c r="V9" s="918"/>
    </row>
    <row r="10" spans="1:22" s="139" customFormat="1" ht="28.5" hidden="1" customHeight="1">
      <c r="B10" s="188" t="s">
        <v>113</v>
      </c>
      <c r="C10" s="725">
        <v>1</v>
      </c>
      <c r="D10" s="725">
        <v>9.8000000000000007</v>
      </c>
      <c r="E10" s="725">
        <v>40.799999999999997</v>
      </c>
      <c r="F10" s="725">
        <v>1.8</v>
      </c>
      <c r="G10" s="725">
        <v>7.7</v>
      </c>
      <c r="H10" s="725">
        <v>7.5</v>
      </c>
      <c r="I10" s="725">
        <v>0.6</v>
      </c>
      <c r="J10" s="726">
        <f>SUM(C10:I10)</f>
        <v>69.199999999999989</v>
      </c>
      <c r="K10" s="1027">
        <f t="shared" ref="K10:K12" si="0">J10/$J$13</f>
        <v>0.12089447938504541</v>
      </c>
      <c r="M10" s="285"/>
      <c r="N10" s="920"/>
      <c r="O10" s="920"/>
      <c r="P10" s="920"/>
      <c r="Q10" s="920"/>
      <c r="R10" s="920"/>
      <c r="S10" s="920"/>
      <c r="T10" s="920"/>
      <c r="U10" s="921"/>
      <c r="V10" s="918"/>
    </row>
    <row r="11" spans="1:22" s="139" customFormat="1" ht="28.5" hidden="1" customHeight="1">
      <c r="B11" s="188" t="s">
        <v>114</v>
      </c>
      <c r="C11" s="725">
        <v>48.1</v>
      </c>
      <c r="D11" s="725">
        <v>117.3</v>
      </c>
      <c r="E11" s="725"/>
      <c r="F11" s="725">
        <v>1</v>
      </c>
      <c r="G11" s="725">
        <v>23.7</v>
      </c>
      <c r="H11" s="725">
        <v>28.6</v>
      </c>
      <c r="I11" s="725">
        <v>2</v>
      </c>
      <c r="J11" s="726">
        <f>SUM(C11:I11)</f>
        <v>220.7</v>
      </c>
      <c r="K11" s="1027">
        <f t="shared" si="0"/>
        <v>0.38556953179594688</v>
      </c>
      <c r="M11" s="285"/>
      <c r="N11" s="920"/>
      <c r="O11" s="920"/>
      <c r="P11" s="920"/>
      <c r="Q11" s="920"/>
      <c r="R11" s="920"/>
      <c r="S11" s="920"/>
      <c r="T11" s="920"/>
      <c r="U11" s="921"/>
      <c r="V11" s="918"/>
    </row>
    <row r="12" spans="1:22" s="139" customFormat="1" ht="28.5" hidden="1" customHeight="1">
      <c r="B12" s="188" t="s">
        <v>522</v>
      </c>
      <c r="C12" s="725">
        <v>5.8</v>
      </c>
      <c r="D12" s="725">
        <v>39.5</v>
      </c>
      <c r="E12" s="725"/>
      <c r="F12" s="725"/>
      <c r="G12" s="725">
        <v>4.2</v>
      </c>
      <c r="H12" s="725">
        <v>6.5</v>
      </c>
      <c r="I12" s="725">
        <v>16.600000000000001</v>
      </c>
      <c r="J12" s="726">
        <f>SUM(C12:I12)</f>
        <v>72.599999999999994</v>
      </c>
      <c r="K12" s="1027">
        <f t="shared" si="0"/>
        <v>0.12683438155136267</v>
      </c>
      <c r="M12" s="285"/>
      <c r="N12" s="920"/>
      <c r="O12" s="920"/>
      <c r="P12" s="920"/>
      <c r="Q12" s="920"/>
      <c r="R12" s="920"/>
      <c r="S12" s="920"/>
      <c r="T12" s="920"/>
      <c r="U12" s="921"/>
      <c r="V12" s="918"/>
    </row>
    <row r="13" spans="1:22" s="253" customFormat="1" ht="28.15" hidden="1" customHeight="1">
      <c r="B13" s="186" t="s">
        <v>47</v>
      </c>
      <c r="C13" s="727">
        <f t="shared" ref="C13:I13" si="1">SUM(C9:C12)</f>
        <v>93.600000000000009</v>
      </c>
      <c r="D13" s="727">
        <f t="shared" si="1"/>
        <v>283.7</v>
      </c>
      <c r="E13" s="727">
        <f t="shared" si="1"/>
        <v>40.799999999999997</v>
      </c>
      <c r="F13" s="727">
        <f t="shared" si="1"/>
        <v>2.8</v>
      </c>
      <c r="G13" s="727">
        <f t="shared" si="1"/>
        <v>60.3</v>
      </c>
      <c r="H13" s="727">
        <f t="shared" si="1"/>
        <v>65.7</v>
      </c>
      <c r="I13" s="727">
        <f t="shared" si="1"/>
        <v>25.5</v>
      </c>
      <c r="J13" s="727">
        <f t="shared" ref="J13" si="2">SUM(J9:J12)</f>
        <v>572.4</v>
      </c>
      <c r="K13" s="476"/>
      <c r="M13" s="265"/>
      <c r="N13" s="922"/>
      <c r="O13" s="922"/>
      <c r="P13" s="922"/>
      <c r="Q13" s="922"/>
      <c r="R13" s="922"/>
      <c r="S13" s="922"/>
      <c r="T13" s="922"/>
      <c r="U13" s="922"/>
      <c r="V13" s="923"/>
    </row>
    <row r="14" spans="1:22" s="253" customFormat="1" ht="15" customHeight="1">
      <c r="B14" s="265"/>
      <c r="C14" s="922"/>
      <c r="D14" s="922"/>
      <c r="E14" s="922"/>
      <c r="F14" s="922"/>
      <c r="G14" s="922"/>
      <c r="H14" s="922"/>
      <c r="I14" s="922"/>
      <c r="J14" s="922"/>
      <c r="K14" s="924"/>
      <c r="M14" s="265"/>
      <c r="N14" s="922"/>
      <c r="O14" s="922"/>
      <c r="P14" s="922"/>
      <c r="Q14" s="922"/>
      <c r="R14" s="922"/>
      <c r="S14" s="922"/>
      <c r="T14" s="922"/>
      <c r="U14" s="922"/>
      <c r="V14" s="923"/>
    </row>
    <row r="15" spans="1:22" s="253" customFormat="1" ht="15" customHeight="1">
      <c r="B15" s="1602">
        <v>44196</v>
      </c>
      <c r="C15" s="1602"/>
      <c r="D15" s="1602"/>
      <c r="E15" s="1602"/>
      <c r="F15" s="1602"/>
      <c r="G15" s="1602"/>
      <c r="H15" s="1602"/>
      <c r="I15" s="1602"/>
      <c r="J15" s="1602"/>
      <c r="K15" s="1602"/>
      <c r="S15" s="753"/>
    </row>
    <row r="16" spans="1:22" s="253" customFormat="1" ht="9.4" customHeight="1">
      <c r="B16" s="1005"/>
      <c r="C16" s="1005"/>
      <c r="D16" s="1005"/>
      <c r="E16" s="1005"/>
      <c r="F16" s="1005"/>
      <c r="G16" s="1005"/>
      <c r="H16" s="1005"/>
      <c r="I16" s="1005"/>
      <c r="J16" s="1005"/>
      <c r="K16" s="1005"/>
      <c r="S16" s="753"/>
    </row>
    <row r="17" spans="2:19" ht="11.25">
      <c r="B17" s="473"/>
      <c r="C17" s="474" t="s">
        <v>119</v>
      </c>
      <c r="D17" s="474" t="s">
        <v>14</v>
      </c>
      <c r="E17" s="474" t="s">
        <v>63</v>
      </c>
      <c r="F17" s="474" t="s">
        <v>92</v>
      </c>
      <c r="G17" s="474" t="s">
        <v>48</v>
      </c>
      <c r="H17" s="474" t="s">
        <v>234</v>
      </c>
      <c r="I17" s="474" t="s">
        <v>115</v>
      </c>
      <c r="J17" s="186" t="s">
        <v>47</v>
      </c>
      <c r="K17" s="187" t="s">
        <v>116</v>
      </c>
    </row>
    <row r="18" spans="2:19" ht="28.5" customHeight="1">
      <c r="B18" s="303" t="s">
        <v>298</v>
      </c>
      <c r="C18" s="725">
        <v>35.200000000000003</v>
      </c>
      <c r="D18" s="725">
        <v>112.8</v>
      </c>
      <c r="E18" s="725"/>
      <c r="F18" s="725"/>
      <c r="G18" s="725">
        <v>33.700000000000003</v>
      </c>
      <c r="H18" s="725">
        <v>22</v>
      </c>
      <c r="I18" s="725">
        <v>5.7</v>
      </c>
      <c r="J18" s="726">
        <f>SUM(C18:I18)</f>
        <v>209.39999999999998</v>
      </c>
      <c r="K18" s="1027">
        <f>J18/$J$22</f>
        <v>0.36911686938127974</v>
      </c>
    </row>
    <row r="19" spans="2:19" ht="28.5" customHeight="1">
      <c r="B19" s="188" t="s">
        <v>113</v>
      </c>
      <c r="C19" s="725"/>
      <c r="D19" s="725">
        <v>10.8</v>
      </c>
      <c r="E19" s="725">
        <v>41</v>
      </c>
      <c r="F19" s="725">
        <v>2</v>
      </c>
      <c r="G19" s="725">
        <v>4.0999999999999996</v>
      </c>
      <c r="H19" s="725"/>
      <c r="I19" s="725">
        <v>0.6</v>
      </c>
      <c r="J19" s="726">
        <f>SUM(C19:I19)</f>
        <v>58.5</v>
      </c>
      <c r="K19" s="1027">
        <f t="shared" ref="K19:K21" si="3">J19/$J$22</f>
        <v>0.1031200423056584</v>
      </c>
      <c r="Q19" s="381"/>
    </row>
    <row r="20" spans="2:19" ht="28.5" customHeight="1">
      <c r="B20" s="188" t="s">
        <v>114</v>
      </c>
      <c r="C20" s="725">
        <v>40.9</v>
      </c>
      <c r="D20" s="725">
        <v>118.2</v>
      </c>
      <c r="E20" s="725"/>
      <c r="F20" s="725">
        <v>1</v>
      </c>
      <c r="G20" s="725">
        <v>28.1</v>
      </c>
      <c r="H20" s="725">
        <v>34.1</v>
      </c>
      <c r="I20" s="725"/>
      <c r="J20" s="726">
        <f>SUM(C20:I20)</f>
        <v>222.29999999999998</v>
      </c>
      <c r="K20" s="1027">
        <f t="shared" si="3"/>
        <v>0.39185616076150187</v>
      </c>
      <c r="Q20" s="381"/>
    </row>
    <row r="21" spans="2:19" ht="28.5" customHeight="1">
      <c r="B21" s="188" t="s">
        <v>522</v>
      </c>
      <c r="C21" s="725">
        <v>5.8</v>
      </c>
      <c r="D21" s="725">
        <v>42.7</v>
      </c>
      <c r="E21" s="725"/>
      <c r="F21" s="725"/>
      <c r="G21" s="725">
        <v>4</v>
      </c>
      <c r="H21" s="725">
        <v>8.8000000000000007</v>
      </c>
      <c r="I21" s="725">
        <v>15.8</v>
      </c>
      <c r="J21" s="726">
        <f>SUM(C21:I21)</f>
        <v>77.099999999999994</v>
      </c>
      <c r="K21" s="1027">
        <f t="shared" si="3"/>
        <v>0.13590692755156003</v>
      </c>
      <c r="Q21" s="381"/>
    </row>
    <row r="22" spans="2:19" ht="28.5" customHeight="1">
      <c r="B22" s="186" t="s">
        <v>47</v>
      </c>
      <c r="C22" s="727">
        <f t="shared" ref="C22:J22" si="4">SUM(C18:C21)</f>
        <v>81.899999999999991</v>
      </c>
      <c r="D22" s="727">
        <f t="shared" si="4"/>
        <v>284.5</v>
      </c>
      <c r="E22" s="727">
        <f t="shared" si="4"/>
        <v>41</v>
      </c>
      <c r="F22" s="727">
        <f t="shared" si="4"/>
        <v>3</v>
      </c>
      <c r="G22" s="727">
        <f t="shared" si="4"/>
        <v>69.900000000000006</v>
      </c>
      <c r="H22" s="727">
        <f t="shared" si="4"/>
        <v>64.900000000000006</v>
      </c>
      <c r="I22" s="727">
        <f t="shared" si="4"/>
        <v>22.1</v>
      </c>
      <c r="J22" s="727">
        <f t="shared" si="4"/>
        <v>567.29999999999995</v>
      </c>
      <c r="K22" s="476"/>
      <c r="Q22" s="381"/>
    </row>
    <row r="24" spans="2:19">
      <c r="Q24" s="145"/>
      <c r="S24" s="145"/>
    </row>
    <row r="25" spans="2:19" s="253" customFormat="1" ht="15" customHeight="1">
      <c r="B25" s="1063">
        <v>44561</v>
      </c>
      <c r="C25" s="1063"/>
      <c r="D25" s="1063"/>
      <c r="E25" s="1063"/>
      <c r="F25" s="1063"/>
      <c r="G25" s="1063"/>
      <c r="H25" s="1063"/>
      <c r="I25" s="1063"/>
      <c r="J25" s="1063"/>
      <c r="K25" s="1063"/>
      <c r="S25" s="753"/>
    </row>
    <row r="26" spans="2:19" s="253" customFormat="1" ht="9.4" customHeight="1">
      <c r="B26" s="1055"/>
      <c r="C26" s="1055"/>
      <c r="D26" s="1055"/>
      <c r="E26" s="1055"/>
      <c r="F26" s="1055"/>
      <c r="G26" s="1055"/>
      <c r="H26" s="1055"/>
      <c r="I26" s="1055"/>
      <c r="J26" s="1055"/>
      <c r="K26" s="1055"/>
      <c r="S26" s="753"/>
    </row>
    <row r="27" spans="2:19" ht="11.25">
      <c r="B27" s="473"/>
      <c r="C27" s="474" t="s">
        <v>119</v>
      </c>
      <c r="D27" s="474" t="s">
        <v>14</v>
      </c>
      <c r="E27" s="474" t="s">
        <v>63</v>
      </c>
      <c r="F27" s="474" t="s">
        <v>92</v>
      </c>
      <c r="G27" s="474" t="s">
        <v>48</v>
      </c>
      <c r="H27" s="474" t="s">
        <v>234</v>
      </c>
      <c r="I27" s="474" t="s">
        <v>115</v>
      </c>
      <c r="J27" s="186" t="s">
        <v>47</v>
      </c>
      <c r="K27" s="187" t="s">
        <v>116</v>
      </c>
    </row>
    <row r="28" spans="2:19" ht="28.5" customHeight="1">
      <c r="B28" s="303" t="s">
        <v>298</v>
      </c>
      <c r="C28" s="725">
        <v>31.6</v>
      </c>
      <c r="D28" s="725">
        <v>99</v>
      </c>
      <c r="E28" s="725"/>
      <c r="F28" s="725"/>
      <c r="G28" s="725">
        <v>42.1</v>
      </c>
      <c r="H28" s="725">
        <v>20.2</v>
      </c>
      <c r="I28" s="725">
        <v>5.7</v>
      </c>
      <c r="J28" s="726">
        <f>SUM(C28:I28)</f>
        <v>198.59999999999997</v>
      </c>
      <c r="K28" s="1027">
        <f>J28/$J$32</f>
        <v>0.35306666666666658</v>
      </c>
    </row>
    <row r="29" spans="2:19" ht="28.5" customHeight="1">
      <c r="B29" s="188" t="s">
        <v>113</v>
      </c>
      <c r="C29" s="725"/>
      <c r="D29" s="725">
        <v>9.3000000000000007</v>
      </c>
      <c r="E29" s="725">
        <v>39.799999999999997</v>
      </c>
      <c r="F29" s="725">
        <v>2</v>
      </c>
      <c r="G29" s="725">
        <v>6.5</v>
      </c>
      <c r="H29" s="725">
        <v>2</v>
      </c>
      <c r="I29" s="725">
        <v>0.6</v>
      </c>
      <c r="J29" s="726">
        <f>SUM(C29:I29)</f>
        <v>60.199999999999996</v>
      </c>
      <c r="K29" s="1027">
        <f t="shared" ref="K29:K30" si="5">J29/$J$32</f>
        <v>0.10702222222222221</v>
      </c>
      <c r="Q29" s="381"/>
    </row>
    <row r="30" spans="2:19" ht="28.5" customHeight="1">
      <c r="B30" s="188" t="s">
        <v>114</v>
      </c>
      <c r="C30" s="725">
        <v>44.2</v>
      </c>
      <c r="D30" s="725">
        <v>126.6</v>
      </c>
      <c r="E30" s="725"/>
      <c r="F30" s="725">
        <v>1</v>
      </c>
      <c r="G30" s="725">
        <v>25.6</v>
      </c>
      <c r="H30" s="725">
        <v>29.8</v>
      </c>
      <c r="I30" s="725"/>
      <c r="J30" s="726">
        <f>SUM(C30:I30)</f>
        <v>227.20000000000002</v>
      </c>
      <c r="K30" s="1027">
        <f t="shared" si="5"/>
        <v>0.40391111111111117</v>
      </c>
      <c r="Q30" s="381"/>
    </row>
    <row r="31" spans="2:19" ht="28.5" customHeight="1">
      <c r="B31" s="188" t="s">
        <v>522</v>
      </c>
      <c r="C31" s="725">
        <v>3.8</v>
      </c>
      <c r="D31" s="725">
        <v>46.1</v>
      </c>
      <c r="E31" s="725"/>
      <c r="F31" s="725"/>
      <c r="G31" s="725">
        <v>5</v>
      </c>
      <c r="H31" s="725">
        <v>5.8</v>
      </c>
      <c r="I31" s="725">
        <v>15.8</v>
      </c>
      <c r="J31" s="726">
        <f>SUM(C31:I31)</f>
        <v>76.5</v>
      </c>
      <c r="K31" s="1027">
        <f>J31/$J$32</f>
        <v>0.13600000000000001</v>
      </c>
      <c r="Q31" s="381"/>
    </row>
    <row r="32" spans="2:19" ht="28.5" customHeight="1">
      <c r="B32" s="186" t="s">
        <v>47</v>
      </c>
      <c r="C32" s="727">
        <f t="shared" ref="C32:J32" si="6">SUM(C28:C31)</f>
        <v>79.600000000000009</v>
      </c>
      <c r="D32" s="727">
        <f t="shared" si="6"/>
        <v>281</v>
      </c>
      <c r="E32" s="727">
        <f t="shared" si="6"/>
        <v>39.799999999999997</v>
      </c>
      <c r="F32" s="727">
        <f t="shared" si="6"/>
        <v>3</v>
      </c>
      <c r="G32" s="727">
        <f t="shared" si="6"/>
        <v>79.2</v>
      </c>
      <c r="H32" s="727">
        <f t="shared" si="6"/>
        <v>57.8</v>
      </c>
      <c r="I32" s="727">
        <f t="shared" si="6"/>
        <v>22.1</v>
      </c>
      <c r="J32" s="727">
        <f t="shared" si="6"/>
        <v>562.5</v>
      </c>
      <c r="K32" s="476"/>
      <c r="Q32" s="381"/>
    </row>
    <row r="35" spans="2:23" s="253" customFormat="1" ht="15" customHeight="1">
      <c r="B35" s="1063">
        <v>44926</v>
      </c>
      <c r="C35" s="1063"/>
      <c r="D35" s="1063"/>
      <c r="E35" s="1063"/>
      <c r="F35" s="1063"/>
      <c r="G35" s="1063"/>
      <c r="H35" s="1063"/>
      <c r="I35" s="1063"/>
      <c r="J35" s="1063"/>
      <c r="K35" s="1063"/>
      <c r="S35" s="753"/>
    </row>
    <row r="36" spans="2:23" s="253" customFormat="1" ht="9.4" customHeight="1">
      <c r="B36" s="1250"/>
      <c r="C36" s="1250"/>
      <c r="D36" s="1250"/>
      <c r="E36" s="1250"/>
      <c r="F36" s="1250"/>
      <c r="G36" s="1250"/>
      <c r="H36" s="1250"/>
      <c r="I36" s="1250"/>
      <c r="J36" s="1250"/>
      <c r="K36" s="1250"/>
      <c r="S36" s="753"/>
    </row>
    <row r="37" spans="2:23" s="1161" customFormat="1" ht="11.25">
      <c r="B37" s="473"/>
      <c r="C37" s="474" t="s">
        <v>119</v>
      </c>
      <c r="D37" s="474" t="s">
        <v>14</v>
      </c>
      <c r="E37" s="474" t="s">
        <v>63</v>
      </c>
      <c r="F37" s="474" t="s">
        <v>92</v>
      </c>
      <c r="G37" s="474" t="s">
        <v>48</v>
      </c>
      <c r="H37" s="474" t="s">
        <v>234</v>
      </c>
      <c r="I37" s="474" t="s">
        <v>115</v>
      </c>
      <c r="J37" s="186" t="s">
        <v>47</v>
      </c>
      <c r="K37" s="187" t="s">
        <v>116</v>
      </c>
    </row>
    <row r="38" spans="2:23" s="1161" customFormat="1" ht="28.5" customHeight="1">
      <c r="B38" s="303" t="s">
        <v>298</v>
      </c>
      <c r="C38" s="1252">
        <v>30.4</v>
      </c>
      <c r="D38" s="1252">
        <v>106.4</v>
      </c>
      <c r="E38" s="1252"/>
      <c r="F38" s="1252"/>
      <c r="G38" s="1252">
        <v>43.3</v>
      </c>
      <c r="H38" s="1252">
        <v>32.700000000000003</v>
      </c>
      <c r="I38" s="1252">
        <v>3</v>
      </c>
      <c r="J38" s="726">
        <f>SUM(C38:I38)</f>
        <v>215.8</v>
      </c>
      <c r="K38" s="1027">
        <f>J38/$J$42</f>
        <v>0.35348075348075347</v>
      </c>
    </row>
    <row r="39" spans="2:23" s="1161" customFormat="1" ht="28.5" customHeight="1">
      <c r="B39" s="188" t="s">
        <v>113</v>
      </c>
      <c r="C39" s="1252"/>
      <c r="D39" s="1252">
        <v>12</v>
      </c>
      <c r="E39" s="1252">
        <v>42.1</v>
      </c>
      <c r="F39" s="1252">
        <v>1</v>
      </c>
      <c r="G39" s="1252">
        <v>4.5999999999999996</v>
      </c>
      <c r="H39" s="1252">
        <v>6</v>
      </c>
      <c r="I39" s="1252"/>
      <c r="J39" s="726">
        <f>SUM(C39:I39)</f>
        <v>65.7</v>
      </c>
      <c r="K39" s="1027">
        <f t="shared" ref="K39:K41" si="7">J39/$J$42</f>
        <v>0.10761670761670762</v>
      </c>
      <c r="Q39" s="381"/>
    </row>
    <row r="40" spans="2:23" s="1161" customFormat="1" ht="28.5" customHeight="1">
      <c r="B40" s="188" t="s">
        <v>114</v>
      </c>
      <c r="C40" s="1252">
        <v>36.1</v>
      </c>
      <c r="D40" s="1252">
        <v>117.5</v>
      </c>
      <c r="E40" s="1252"/>
      <c r="F40" s="1252">
        <v>1</v>
      </c>
      <c r="G40" s="1252">
        <v>33.4</v>
      </c>
      <c r="H40" s="1252">
        <v>60.3</v>
      </c>
      <c r="I40" s="1252">
        <v>2</v>
      </c>
      <c r="J40" s="726">
        <f>SUM(C40:I40)</f>
        <v>250.3</v>
      </c>
      <c r="K40" s="1027">
        <f t="shared" si="7"/>
        <v>0.40999180999181001</v>
      </c>
      <c r="Q40" s="381"/>
    </row>
    <row r="41" spans="2:23" s="1161" customFormat="1" ht="28.5" customHeight="1">
      <c r="B41" s="188" t="s">
        <v>522</v>
      </c>
      <c r="C41" s="1252">
        <v>3.8</v>
      </c>
      <c r="D41" s="1252">
        <v>41.5</v>
      </c>
      <c r="E41" s="1252"/>
      <c r="F41" s="1252"/>
      <c r="G41" s="1252">
        <v>5.8</v>
      </c>
      <c r="H41" s="1252">
        <v>9</v>
      </c>
      <c r="I41" s="1252">
        <v>18.600000000000001</v>
      </c>
      <c r="J41" s="726">
        <f>SUM(C41:I41)</f>
        <v>78.699999999999989</v>
      </c>
      <c r="K41" s="1027">
        <f t="shared" si="7"/>
        <v>0.12891072891072888</v>
      </c>
      <c r="Q41" s="381"/>
    </row>
    <row r="42" spans="2:23" s="1161" customFormat="1" ht="28.5" customHeight="1">
      <c r="B42" s="186" t="s">
        <v>47</v>
      </c>
      <c r="C42" s="727">
        <f t="shared" ref="C42:J42" si="8">SUM(C38:C41)</f>
        <v>70.3</v>
      </c>
      <c r="D42" s="727">
        <f t="shared" si="8"/>
        <v>277.39999999999998</v>
      </c>
      <c r="E42" s="727">
        <f t="shared" si="8"/>
        <v>42.1</v>
      </c>
      <c r="F42" s="727">
        <f t="shared" si="8"/>
        <v>2</v>
      </c>
      <c r="G42" s="727">
        <f t="shared" si="8"/>
        <v>87.1</v>
      </c>
      <c r="H42" s="727">
        <f>SUM(H38:H41)</f>
        <v>108</v>
      </c>
      <c r="I42" s="727">
        <f t="shared" si="8"/>
        <v>23.6</v>
      </c>
      <c r="J42" s="727">
        <f t="shared" si="8"/>
        <v>610.5</v>
      </c>
      <c r="K42" s="476"/>
      <c r="Q42" s="381"/>
    </row>
    <row r="45" spans="2:23">
      <c r="B45" s="1161"/>
      <c r="C45" s="1161"/>
      <c r="D45" s="1161"/>
      <c r="E45" s="1161"/>
      <c r="F45" s="1161"/>
      <c r="G45" s="1161"/>
      <c r="H45" s="1161"/>
      <c r="I45" s="1161"/>
      <c r="J45" s="1161"/>
      <c r="K45" s="1161"/>
      <c r="L45" s="1161"/>
      <c r="M45" s="1161"/>
      <c r="N45" s="1161"/>
      <c r="O45" s="1161"/>
      <c r="P45" s="1161"/>
      <c r="Q45" s="1161"/>
      <c r="R45" s="1161"/>
      <c r="S45" s="1161"/>
      <c r="T45" s="1161"/>
      <c r="U45" s="1161"/>
      <c r="V45" s="1161"/>
      <c r="W45" s="1161"/>
    </row>
  </sheetData>
  <mergeCells count="2">
    <mergeCell ref="N6:V6"/>
    <mergeCell ref="B15:K15"/>
  </mergeCells>
  <pageMargins left="0.11811023622047245" right="0.11811023622047245" top="0.35433070866141736" bottom="0.35433070866141736"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AE109"/>
  <sheetViews>
    <sheetView showGridLines="0" topLeftCell="A49" zoomScaleNormal="100" zoomScaleSheetLayoutView="100" workbookViewId="0">
      <selection activeCell="M22" sqref="M22"/>
    </sheetView>
  </sheetViews>
  <sheetFormatPr baseColWidth="10" defaultColWidth="12" defaultRowHeight="11.25"/>
  <cols>
    <col min="1" max="1" width="8.1640625" style="56" customWidth="1"/>
    <col min="2" max="2" width="5.6640625" style="56" customWidth="1"/>
    <col min="3" max="3" width="11.6640625" style="56" customWidth="1"/>
    <col min="4" max="5" width="9.5" style="56" customWidth="1"/>
    <col min="6" max="6" width="12.6640625" style="56" customWidth="1"/>
    <col min="7" max="7" width="7.5" style="56" customWidth="1"/>
    <col min="8" max="8" width="9.6640625" style="56" customWidth="1"/>
    <col min="9" max="9" width="9.5" style="56" customWidth="1"/>
    <col min="10" max="10" width="8.1640625" style="56" customWidth="1"/>
    <col min="11" max="11" width="9.33203125" style="56" customWidth="1"/>
    <col min="12" max="12" width="7.6640625" style="56" customWidth="1"/>
    <col min="13" max="14" width="9.6640625" style="56" customWidth="1"/>
    <col min="15" max="15" width="8.1640625" style="56" customWidth="1"/>
    <col min="16" max="16" width="11.5" style="56" customWidth="1"/>
    <col min="17" max="19" width="9.6640625" style="56" customWidth="1"/>
    <col min="20" max="20" width="8.5" style="56" customWidth="1"/>
    <col min="21" max="22" width="6.6640625" style="56" customWidth="1"/>
    <col min="23" max="23" width="11.1640625" style="56" bestFit="1" customWidth="1"/>
    <col min="24" max="24" width="10.1640625" style="56" bestFit="1" customWidth="1"/>
    <col min="25" max="16384" width="12" style="56"/>
  </cols>
  <sheetData>
    <row r="1" spans="1:31" ht="21" customHeight="1">
      <c r="A1" s="228" t="s">
        <v>714</v>
      </c>
      <c r="B1" s="132"/>
      <c r="C1" s="132"/>
      <c r="D1" s="132"/>
      <c r="E1" s="132"/>
      <c r="F1" s="132"/>
      <c r="G1" s="132"/>
      <c r="H1" s="132"/>
      <c r="I1" s="132"/>
      <c r="J1" s="132"/>
      <c r="K1" s="132"/>
      <c r="L1" s="132"/>
      <c r="M1" s="132"/>
      <c r="N1" s="132"/>
      <c r="O1" s="132"/>
      <c r="P1" s="132"/>
    </row>
    <row r="2" spans="1:31" ht="22.15" customHeight="1">
      <c r="B2" s="132"/>
      <c r="C2" s="132"/>
      <c r="D2" s="132"/>
      <c r="E2" s="132"/>
      <c r="F2" s="132"/>
      <c r="G2" s="132"/>
      <c r="H2" s="132"/>
      <c r="I2" s="132"/>
      <c r="J2" s="132"/>
      <c r="K2" s="132"/>
      <c r="L2" s="132"/>
      <c r="M2" s="132"/>
      <c r="N2" s="132"/>
      <c r="O2" s="132"/>
      <c r="P2" s="132"/>
    </row>
    <row r="3" spans="1:31" ht="22.9" customHeight="1">
      <c r="A3" s="189" t="s">
        <v>395</v>
      </c>
      <c r="B3" s="132"/>
      <c r="C3" s="132"/>
      <c r="D3" s="132"/>
      <c r="E3" s="132"/>
      <c r="F3" s="132"/>
      <c r="G3" s="132"/>
      <c r="H3" s="132"/>
      <c r="I3" s="132"/>
      <c r="J3" s="132"/>
      <c r="K3" s="132"/>
      <c r="L3" s="132"/>
      <c r="M3" s="132"/>
      <c r="N3" s="132"/>
      <c r="O3" s="132"/>
      <c r="P3" s="132"/>
    </row>
    <row r="4" spans="1:31" ht="4.1500000000000004" customHeight="1">
      <c r="O4" s="67"/>
      <c r="P4" s="67"/>
    </row>
    <row r="5" spans="1:31" ht="21" customHeight="1">
      <c r="C5" s="1609">
        <v>2020</v>
      </c>
      <c r="D5" s="1603" t="s">
        <v>712</v>
      </c>
      <c r="E5" s="1604"/>
      <c r="F5" s="1605" t="s">
        <v>48</v>
      </c>
      <c r="G5" s="1604"/>
      <c r="H5" s="1605" t="s">
        <v>392</v>
      </c>
      <c r="I5" s="1604"/>
      <c r="J5" s="1611" t="s">
        <v>396</v>
      </c>
      <c r="K5" s="1606" t="s">
        <v>393</v>
      </c>
      <c r="M5" s="1609">
        <v>2021</v>
      </c>
      <c r="N5" s="1603" t="s">
        <v>712</v>
      </c>
      <c r="O5" s="1604"/>
      <c r="P5" s="1605" t="s">
        <v>48</v>
      </c>
      <c r="Q5" s="1604"/>
      <c r="R5" s="1605" t="s">
        <v>392</v>
      </c>
      <c r="S5" s="1604"/>
      <c r="T5" s="1611" t="s">
        <v>396</v>
      </c>
      <c r="U5" s="1611" t="s">
        <v>393</v>
      </c>
      <c r="W5" s="1609">
        <v>2022</v>
      </c>
      <c r="X5" s="1603" t="s">
        <v>712</v>
      </c>
      <c r="Y5" s="1604"/>
      <c r="Z5" s="1605" t="s">
        <v>48</v>
      </c>
      <c r="AA5" s="1604"/>
      <c r="AB5" s="1605" t="s">
        <v>392</v>
      </c>
      <c r="AC5" s="1604"/>
      <c r="AD5" s="1611" t="s">
        <v>396</v>
      </c>
      <c r="AE5" s="1606" t="s">
        <v>393</v>
      </c>
    </row>
    <row r="6" spans="1:31" ht="16.149999999999999" customHeight="1">
      <c r="C6" s="1610"/>
      <c r="D6" s="187" t="s">
        <v>394</v>
      </c>
      <c r="E6" s="187" t="s">
        <v>86</v>
      </c>
      <c r="F6" s="187" t="s">
        <v>394</v>
      </c>
      <c r="G6" s="187" t="s">
        <v>86</v>
      </c>
      <c r="H6" s="187" t="s">
        <v>394</v>
      </c>
      <c r="I6" s="187" t="s">
        <v>86</v>
      </c>
      <c r="J6" s="1607"/>
      <c r="K6" s="1607"/>
      <c r="M6" s="1610"/>
      <c r="N6" s="187" t="s">
        <v>394</v>
      </c>
      <c r="O6" s="187" t="s">
        <v>86</v>
      </c>
      <c r="P6" s="187" t="s">
        <v>394</v>
      </c>
      <c r="Q6" s="187" t="s">
        <v>86</v>
      </c>
      <c r="R6" s="187" t="s">
        <v>394</v>
      </c>
      <c r="S6" s="187" t="s">
        <v>86</v>
      </c>
      <c r="T6" s="1607"/>
      <c r="U6" s="1612"/>
      <c r="W6" s="1610"/>
      <c r="X6" s="187" t="s">
        <v>394</v>
      </c>
      <c r="Y6" s="187" t="s">
        <v>86</v>
      </c>
      <c r="Z6" s="187" t="s">
        <v>394</v>
      </c>
      <c r="AA6" s="187" t="s">
        <v>86</v>
      </c>
      <c r="AB6" s="187" t="s">
        <v>394</v>
      </c>
      <c r="AC6" s="187" t="s">
        <v>86</v>
      </c>
      <c r="AD6" s="1607"/>
      <c r="AE6" s="1607"/>
    </row>
    <row r="7" spans="1:31" ht="16.149999999999999" customHeight="1">
      <c r="C7" s="187" t="s">
        <v>353</v>
      </c>
      <c r="D7" s="546">
        <v>10</v>
      </c>
      <c r="E7" s="546">
        <v>10</v>
      </c>
      <c r="F7" s="546">
        <v>18</v>
      </c>
      <c r="G7" s="546">
        <v>17</v>
      </c>
      <c r="H7" s="546">
        <v>21</v>
      </c>
      <c r="I7" s="546">
        <v>19.100000000000001</v>
      </c>
      <c r="J7" s="481">
        <f>SUM(D7,F7,H7)</f>
        <v>49</v>
      </c>
      <c r="K7" s="481">
        <f t="shared" ref="K7:K10" si="0">SUM(E7,G7,I7)</f>
        <v>46.1</v>
      </c>
      <c r="M7" s="187" t="s">
        <v>353</v>
      </c>
      <c r="N7" s="546">
        <v>14</v>
      </c>
      <c r="O7" s="546">
        <v>13.5</v>
      </c>
      <c r="P7" s="546">
        <v>32</v>
      </c>
      <c r="Q7" s="546">
        <v>29.5</v>
      </c>
      <c r="R7" s="546">
        <v>23</v>
      </c>
      <c r="S7" s="546">
        <v>20.8</v>
      </c>
      <c r="T7" s="481">
        <f>SUM(N7,P7,R7)</f>
        <v>69</v>
      </c>
      <c r="U7" s="481">
        <f t="shared" ref="U7:U10" si="1">SUM(O7,Q7,S7)</f>
        <v>63.8</v>
      </c>
      <c r="W7" s="187" t="s">
        <v>353</v>
      </c>
      <c r="X7" s="1314">
        <v>25</v>
      </c>
      <c r="Y7" s="1314">
        <v>24.5</v>
      </c>
      <c r="Z7" s="1314">
        <v>36</v>
      </c>
      <c r="AA7" s="1314">
        <v>32.9</v>
      </c>
      <c r="AB7" s="1314">
        <v>16</v>
      </c>
      <c r="AC7" s="1314">
        <v>15.2</v>
      </c>
      <c r="AD7" s="481">
        <f>SUM(X7,Z7,AB7)</f>
        <v>77</v>
      </c>
      <c r="AE7" s="481">
        <f t="shared" ref="AD7:AE10" si="2">SUM(Y7,AA7,AC7)</f>
        <v>72.599999999999994</v>
      </c>
    </row>
    <row r="8" spans="1:31" ht="16.149999999999999" customHeight="1">
      <c r="C8" s="187" t="s">
        <v>354</v>
      </c>
      <c r="D8" s="546">
        <v>23</v>
      </c>
      <c r="E8" s="546">
        <v>22.7</v>
      </c>
      <c r="F8" s="546">
        <v>21</v>
      </c>
      <c r="G8" s="546">
        <v>19.2</v>
      </c>
      <c r="H8" s="546">
        <v>17</v>
      </c>
      <c r="I8" s="546">
        <v>15.5</v>
      </c>
      <c r="J8" s="481">
        <f t="shared" ref="J8:J10" si="3">SUM(D8,F8,H8)</f>
        <v>61</v>
      </c>
      <c r="K8" s="481">
        <f t="shared" si="0"/>
        <v>57.4</v>
      </c>
      <c r="M8" s="187" t="s">
        <v>354</v>
      </c>
      <c r="N8" s="546">
        <v>17</v>
      </c>
      <c r="O8" s="546">
        <v>16.5</v>
      </c>
      <c r="P8" s="546">
        <v>24</v>
      </c>
      <c r="Q8" s="546">
        <v>22.5</v>
      </c>
      <c r="R8" s="546">
        <v>28</v>
      </c>
      <c r="S8" s="546">
        <v>27.7</v>
      </c>
      <c r="T8" s="481">
        <f t="shared" ref="T8:T10" si="4">SUM(N8,P8,R8)</f>
        <v>69</v>
      </c>
      <c r="U8" s="481">
        <f t="shared" si="1"/>
        <v>66.7</v>
      </c>
      <c r="W8" s="187" t="s">
        <v>354</v>
      </c>
      <c r="X8" s="1314">
        <v>40</v>
      </c>
      <c r="Y8" s="1314">
        <v>39.5</v>
      </c>
      <c r="Z8" s="1314">
        <v>22</v>
      </c>
      <c r="AA8" s="1314">
        <v>21.2</v>
      </c>
      <c r="AB8" s="1314">
        <v>13</v>
      </c>
      <c r="AC8" s="1314">
        <v>12</v>
      </c>
      <c r="AD8" s="481">
        <f t="shared" si="2"/>
        <v>75</v>
      </c>
      <c r="AE8" s="481">
        <f t="shared" si="2"/>
        <v>72.7</v>
      </c>
    </row>
    <row r="9" spans="1:31" ht="16.149999999999999" customHeight="1">
      <c r="C9" s="187" t="s">
        <v>355</v>
      </c>
      <c r="D9" s="546">
        <v>27</v>
      </c>
      <c r="E9" s="546">
        <v>26.1</v>
      </c>
      <c r="F9" s="546">
        <v>29</v>
      </c>
      <c r="G9" s="546">
        <v>26.8</v>
      </c>
      <c r="H9" s="546">
        <v>30</v>
      </c>
      <c r="I9" s="546">
        <v>27</v>
      </c>
      <c r="J9" s="481">
        <f t="shared" si="3"/>
        <v>86</v>
      </c>
      <c r="K9" s="481">
        <f t="shared" si="0"/>
        <v>79.900000000000006</v>
      </c>
      <c r="M9" s="187" t="s">
        <v>355</v>
      </c>
      <c r="N9" s="546">
        <v>29</v>
      </c>
      <c r="O9" s="546">
        <v>27.3</v>
      </c>
      <c r="P9" s="546">
        <v>29</v>
      </c>
      <c r="Q9" s="546">
        <v>27.2</v>
      </c>
      <c r="R9" s="546">
        <v>35</v>
      </c>
      <c r="S9" s="546">
        <v>32.1</v>
      </c>
      <c r="T9" s="481">
        <f t="shared" si="4"/>
        <v>93</v>
      </c>
      <c r="U9" s="481">
        <f t="shared" si="1"/>
        <v>86.6</v>
      </c>
      <c r="W9" s="187" t="s">
        <v>355</v>
      </c>
      <c r="X9" s="1314">
        <v>48</v>
      </c>
      <c r="Y9" s="1314">
        <v>44</v>
      </c>
      <c r="Z9" s="1314">
        <v>36</v>
      </c>
      <c r="AA9" s="1314">
        <v>34</v>
      </c>
      <c r="AB9" s="1314">
        <v>29</v>
      </c>
      <c r="AC9" s="1314">
        <v>27.7</v>
      </c>
      <c r="AD9" s="481">
        <f t="shared" si="2"/>
        <v>113</v>
      </c>
      <c r="AE9" s="481">
        <f t="shared" si="2"/>
        <v>105.7</v>
      </c>
    </row>
    <row r="10" spans="1:31" ht="16.149999999999999" customHeight="1">
      <c r="C10" s="398" t="s">
        <v>318</v>
      </c>
      <c r="D10" s="481">
        <f>SUM(D7:D9)</f>
        <v>60</v>
      </c>
      <c r="E10" s="481">
        <f t="shared" ref="E10:I10" si="5">SUM(E7:E9)</f>
        <v>58.800000000000004</v>
      </c>
      <c r="F10" s="481">
        <f t="shared" si="5"/>
        <v>68</v>
      </c>
      <c r="G10" s="481">
        <f t="shared" si="5"/>
        <v>63</v>
      </c>
      <c r="H10" s="481">
        <f t="shared" si="5"/>
        <v>68</v>
      </c>
      <c r="I10" s="481">
        <f t="shared" si="5"/>
        <v>61.6</v>
      </c>
      <c r="J10" s="481">
        <f t="shared" si="3"/>
        <v>196</v>
      </c>
      <c r="K10" s="481">
        <f t="shared" si="0"/>
        <v>183.4</v>
      </c>
      <c r="M10" s="398" t="s">
        <v>318</v>
      </c>
      <c r="N10" s="481">
        <f>SUM(N7:N9)</f>
        <v>60</v>
      </c>
      <c r="O10" s="481">
        <f t="shared" ref="O10" si="6">SUM(O7:O9)</f>
        <v>57.3</v>
      </c>
      <c r="P10" s="481">
        <f t="shared" ref="P10" si="7">SUM(P7:P9)</f>
        <v>85</v>
      </c>
      <c r="Q10" s="481">
        <f t="shared" ref="Q10" si="8">SUM(Q7:Q9)</f>
        <v>79.2</v>
      </c>
      <c r="R10" s="481">
        <f t="shared" ref="R10" si="9">SUM(R7:R9)</f>
        <v>86</v>
      </c>
      <c r="S10" s="481">
        <f t="shared" ref="S10" si="10">SUM(S7:S9)</f>
        <v>80.599999999999994</v>
      </c>
      <c r="T10" s="481">
        <f t="shared" si="4"/>
        <v>231</v>
      </c>
      <c r="U10" s="481">
        <f t="shared" si="1"/>
        <v>217.1</v>
      </c>
      <c r="W10" s="398" t="s">
        <v>318</v>
      </c>
      <c r="X10" s="481">
        <f t="shared" ref="X10:AC10" si="11">SUM(X7:X9)</f>
        <v>113</v>
      </c>
      <c r="Y10" s="481">
        <f t="shared" si="11"/>
        <v>108</v>
      </c>
      <c r="Z10" s="481">
        <f t="shared" si="11"/>
        <v>94</v>
      </c>
      <c r="AA10" s="481">
        <f t="shared" si="11"/>
        <v>88.1</v>
      </c>
      <c r="AB10" s="481">
        <f t="shared" si="11"/>
        <v>58</v>
      </c>
      <c r="AC10" s="481">
        <f t="shared" si="11"/>
        <v>54.9</v>
      </c>
      <c r="AD10" s="481">
        <f t="shared" si="2"/>
        <v>265</v>
      </c>
      <c r="AE10" s="481">
        <f t="shared" si="2"/>
        <v>251</v>
      </c>
    </row>
    <row r="11" spans="1:31" ht="12" customHeight="1">
      <c r="O11" s="67"/>
      <c r="Q11" s="594"/>
      <c r="R11" s="594"/>
      <c r="S11" s="594"/>
    </row>
    <row r="12" spans="1:31" ht="19.5" customHeight="1">
      <c r="A12" s="189" t="s">
        <v>706</v>
      </c>
      <c r="C12" s="397"/>
      <c r="D12" s="397"/>
      <c r="E12" s="397"/>
      <c r="F12" s="397"/>
      <c r="G12" s="397"/>
      <c r="H12" s="786"/>
      <c r="I12" s="397"/>
      <c r="J12" s="397"/>
      <c r="K12" s="397"/>
      <c r="L12" s="397"/>
      <c r="M12" s="397"/>
    </row>
    <row r="13" spans="1:31" ht="19.5" customHeight="1">
      <c r="A13" s="396"/>
      <c r="B13" s="397"/>
      <c r="C13" s="397"/>
      <c r="D13" s="397"/>
      <c r="E13" s="397"/>
      <c r="F13" s="397"/>
      <c r="G13" s="397"/>
      <c r="H13" s="397"/>
      <c r="I13" s="397"/>
      <c r="J13" s="397"/>
      <c r="K13" s="397"/>
    </row>
    <row r="14" spans="1:31" ht="8.25" customHeight="1">
      <c r="A14" s="396"/>
      <c r="B14" s="397"/>
      <c r="D14" s="56" t="s">
        <v>353</v>
      </c>
      <c r="E14" s="56" t="s">
        <v>354</v>
      </c>
      <c r="F14" s="56" t="s">
        <v>355</v>
      </c>
      <c r="G14" s="397"/>
      <c r="H14" s="397"/>
      <c r="I14" s="397"/>
      <c r="J14" s="397"/>
      <c r="K14" s="397"/>
    </row>
    <row r="15" spans="1:31" ht="8.25" customHeight="1">
      <c r="A15" s="396"/>
      <c r="B15" s="397"/>
      <c r="C15" s="56">
        <v>2011</v>
      </c>
      <c r="D15" s="56">
        <v>14</v>
      </c>
      <c r="E15" s="56">
        <v>11</v>
      </c>
      <c r="F15" s="56">
        <v>33</v>
      </c>
      <c r="G15" s="141">
        <f t="shared" ref="G15:G26" si="12">SUM(D15:F15)</f>
        <v>58</v>
      </c>
      <c r="H15" s="397"/>
      <c r="I15" s="397"/>
      <c r="J15" s="397"/>
      <c r="K15" s="397"/>
    </row>
    <row r="16" spans="1:31" ht="8.25" customHeight="1">
      <c r="A16" s="396"/>
      <c r="B16" s="397"/>
      <c r="C16" s="56">
        <v>2012</v>
      </c>
      <c r="D16" s="56">
        <v>17</v>
      </c>
      <c r="E16" s="56">
        <v>17</v>
      </c>
      <c r="F16" s="56">
        <v>43</v>
      </c>
      <c r="G16" s="141">
        <f t="shared" si="12"/>
        <v>77</v>
      </c>
      <c r="H16" s="397"/>
      <c r="I16" s="397"/>
      <c r="J16" s="397"/>
      <c r="K16" s="397"/>
    </row>
    <row r="17" spans="1:25" ht="8.25" customHeight="1">
      <c r="C17" s="56">
        <v>2013</v>
      </c>
      <c r="D17" s="56">
        <v>20</v>
      </c>
      <c r="E17" s="56">
        <v>20</v>
      </c>
      <c r="F17" s="56">
        <v>49</v>
      </c>
      <c r="G17" s="141">
        <f t="shared" si="12"/>
        <v>89</v>
      </c>
      <c r="H17" s="166"/>
    </row>
    <row r="18" spans="1:25" ht="8.25" customHeight="1">
      <c r="C18" s="56">
        <v>2014</v>
      </c>
      <c r="D18" s="56">
        <v>24</v>
      </c>
      <c r="E18" s="56">
        <v>29</v>
      </c>
      <c r="F18" s="56">
        <v>54</v>
      </c>
      <c r="G18" s="56">
        <f t="shared" si="12"/>
        <v>107</v>
      </c>
    </row>
    <row r="19" spans="1:25" ht="8.25" customHeight="1">
      <c r="C19" s="56">
        <v>2015</v>
      </c>
      <c r="D19" s="56">
        <v>25</v>
      </c>
      <c r="E19" s="56">
        <v>32</v>
      </c>
      <c r="F19" s="56">
        <v>61</v>
      </c>
      <c r="G19" s="56">
        <f t="shared" si="12"/>
        <v>118</v>
      </c>
    </row>
    <row r="20" spans="1:25">
      <c r="C20" s="56">
        <v>2016</v>
      </c>
      <c r="D20" s="56">
        <v>25</v>
      </c>
      <c r="E20" s="56">
        <v>33</v>
      </c>
      <c r="F20" s="56">
        <v>65</v>
      </c>
      <c r="G20" s="56">
        <f t="shared" si="12"/>
        <v>123</v>
      </c>
    </row>
    <row r="21" spans="1:25">
      <c r="C21" s="56">
        <v>2017</v>
      </c>
      <c r="D21" s="56">
        <v>29</v>
      </c>
      <c r="E21" s="56">
        <v>40</v>
      </c>
      <c r="F21" s="56">
        <v>70</v>
      </c>
      <c r="G21" s="56">
        <f t="shared" si="12"/>
        <v>139</v>
      </c>
    </row>
    <row r="22" spans="1:25" ht="9" customHeight="1">
      <c r="C22" s="56">
        <v>2018</v>
      </c>
      <c r="D22" s="56">
        <f>D21+2</f>
        <v>31</v>
      </c>
      <c r="E22" s="56">
        <v>44</v>
      </c>
      <c r="F22" s="56">
        <v>80</v>
      </c>
      <c r="G22" s="56">
        <f t="shared" si="12"/>
        <v>155</v>
      </c>
    </row>
    <row r="23" spans="1:25" ht="9.75" customHeight="1">
      <c r="C23" s="56">
        <v>2019</v>
      </c>
      <c r="D23" s="56">
        <f>D22+5</f>
        <v>36</v>
      </c>
      <c r="E23" s="56">
        <f>E22+6</f>
        <v>50</v>
      </c>
      <c r="F23" s="56">
        <f>F22+8</f>
        <v>88</v>
      </c>
      <c r="G23" s="56">
        <f t="shared" si="12"/>
        <v>174</v>
      </c>
    </row>
    <row r="24" spans="1:25" ht="9.75" customHeight="1">
      <c r="C24" s="56">
        <v>2020</v>
      </c>
      <c r="D24" s="56">
        <f>D23+10</f>
        <v>46</v>
      </c>
      <c r="E24" s="56">
        <f>E23+4</f>
        <v>54</v>
      </c>
      <c r="F24" s="56">
        <f>F23+5</f>
        <v>93</v>
      </c>
      <c r="G24" s="56">
        <f t="shared" si="12"/>
        <v>193</v>
      </c>
    </row>
    <row r="25" spans="1:25">
      <c r="C25" s="56">
        <v>2021</v>
      </c>
      <c r="D25" s="56">
        <f>D24+13</f>
        <v>59</v>
      </c>
      <c r="E25" s="56">
        <f>E24+6</f>
        <v>60</v>
      </c>
      <c r="F25" s="56">
        <f>F24+4</f>
        <v>97</v>
      </c>
      <c r="G25" s="56">
        <f t="shared" si="12"/>
        <v>216</v>
      </c>
    </row>
    <row r="26" spans="1:25">
      <c r="A26" s="901"/>
      <c r="B26" s="901"/>
      <c r="C26" s="56">
        <v>2022</v>
      </c>
      <c r="D26" s="901">
        <f>D25+5</f>
        <v>64</v>
      </c>
      <c r="E26" s="901">
        <f>E25+6</f>
        <v>66</v>
      </c>
      <c r="F26" s="901">
        <f>F25+8</f>
        <v>105</v>
      </c>
      <c r="G26" s="56">
        <f t="shared" si="12"/>
        <v>235</v>
      </c>
      <c r="H26" s="901"/>
      <c r="I26" s="901"/>
      <c r="J26" s="901"/>
      <c r="K26" s="901"/>
      <c r="L26" s="901"/>
      <c r="M26" s="901"/>
      <c r="N26" s="901"/>
      <c r="O26" s="901"/>
      <c r="P26" s="901"/>
      <c r="Q26" s="901"/>
      <c r="R26" s="901"/>
      <c r="S26" s="901"/>
      <c r="T26" s="901"/>
      <c r="U26" s="901"/>
      <c r="V26" s="901"/>
      <c r="W26" s="901"/>
      <c r="X26" s="901"/>
      <c r="Y26" s="901"/>
    </row>
    <row r="29" spans="1:25" ht="12">
      <c r="A29" s="592"/>
    </row>
    <row r="31" spans="1:25" ht="12.75">
      <c r="K31" s="316"/>
    </row>
    <row r="32" spans="1:25" ht="18.75">
      <c r="A32" s="228" t="s">
        <v>642</v>
      </c>
    </row>
    <row r="33" spans="1:14" ht="12">
      <c r="A33" s="592" t="s">
        <v>1089</v>
      </c>
    </row>
    <row r="35" spans="1:14" ht="12.75">
      <c r="A35" s="1608" t="s">
        <v>360</v>
      </c>
      <c r="B35" s="1608"/>
      <c r="C35" s="1608"/>
      <c r="D35" s="1608"/>
      <c r="E35" s="1608"/>
      <c r="F35" s="1608"/>
      <c r="G35" s="1608"/>
      <c r="H35" s="1608"/>
      <c r="I35" s="1608"/>
      <c r="J35" s="1608"/>
    </row>
    <row r="37" spans="1:14">
      <c r="H37" s="137"/>
      <c r="I37" s="137"/>
    </row>
    <row r="38" spans="1:14">
      <c r="F38" s="625" t="s">
        <v>556</v>
      </c>
      <c r="G38" s="854">
        <v>2</v>
      </c>
    </row>
    <row r="39" spans="1:14">
      <c r="F39" s="625" t="s">
        <v>525</v>
      </c>
      <c r="G39" s="854">
        <v>4</v>
      </c>
      <c r="N39" s="190"/>
    </row>
    <row r="40" spans="1:14">
      <c r="F40" s="625" t="s">
        <v>112</v>
      </c>
      <c r="G40" s="854">
        <v>8</v>
      </c>
    </row>
    <row r="41" spans="1:14">
      <c r="F41" s="625" t="s">
        <v>676</v>
      </c>
      <c r="G41" s="854">
        <v>30</v>
      </c>
    </row>
    <row r="42" spans="1:14">
      <c r="F42" s="625" t="s">
        <v>111</v>
      </c>
      <c r="G42" s="854">
        <v>72</v>
      </c>
    </row>
    <row r="43" spans="1:14">
      <c r="F43" s="625" t="s">
        <v>557</v>
      </c>
      <c r="G43" s="854">
        <v>84</v>
      </c>
    </row>
    <row r="44" spans="1:14">
      <c r="F44" s="625" t="s">
        <v>974</v>
      </c>
      <c r="G44" s="854">
        <v>96</v>
      </c>
    </row>
    <row r="45" spans="1:14">
      <c r="F45" s="625" t="s">
        <v>558</v>
      </c>
      <c r="G45" s="854">
        <v>202</v>
      </c>
    </row>
    <row r="46" spans="1:14">
      <c r="F46" s="625" t="s">
        <v>110</v>
      </c>
      <c r="G46" s="854">
        <v>257</v>
      </c>
    </row>
    <row r="47" spans="1:14">
      <c r="G47" s="56">
        <f>SUM(G39:G46)</f>
        <v>753</v>
      </c>
    </row>
    <row r="48" spans="1:14">
      <c r="A48" s="10"/>
      <c r="F48" s="625"/>
      <c r="G48" s="626"/>
    </row>
    <row r="49" spans="1:16" ht="7.15" customHeight="1"/>
    <row r="50" spans="1:16" ht="7.15" customHeight="1"/>
    <row r="51" spans="1:16" ht="7.15" customHeight="1"/>
    <row r="52" spans="1:16" ht="7.15" customHeight="1">
      <c r="A52"/>
    </row>
    <row r="53" spans="1:16" ht="7.15" customHeight="1"/>
    <row r="54" spans="1:16" ht="7.15" customHeight="1">
      <c r="A54"/>
    </row>
    <row r="55" spans="1:16" ht="7.15" customHeight="1">
      <c r="A55"/>
    </row>
    <row r="56" spans="1:16" ht="12.75">
      <c r="A56"/>
      <c r="H56" s="1011"/>
      <c r="I56" s="1011" t="s">
        <v>713</v>
      </c>
      <c r="J56" s="1011"/>
      <c r="K56" s="1011"/>
      <c r="L56" s="1011"/>
      <c r="M56" s="1011"/>
      <c r="N56" s="1011"/>
      <c r="O56" s="1011"/>
      <c r="P56" s="1011"/>
    </row>
    <row r="57" spans="1:16" ht="7.15" customHeight="1">
      <c r="A57"/>
    </row>
    <row r="58" spans="1:16" ht="7.15" customHeight="1">
      <c r="A58"/>
      <c r="J58" s="57"/>
    </row>
    <row r="59" spans="1:16" ht="7.15" customHeight="1"/>
    <row r="62" spans="1:16">
      <c r="K62" s="625" t="s">
        <v>556</v>
      </c>
      <c r="L62" s="855">
        <v>37</v>
      </c>
    </row>
    <row r="63" spans="1:16">
      <c r="K63" s="625" t="s">
        <v>525</v>
      </c>
      <c r="L63" s="855">
        <v>318</v>
      </c>
    </row>
    <row r="64" spans="1:16">
      <c r="K64" s="625" t="s">
        <v>112</v>
      </c>
      <c r="L64" s="855">
        <v>430</v>
      </c>
    </row>
    <row r="65" spans="1:21">
      <c r="K65" s="625" t="s">
        <v>676</v>
      </c>
      <c r="L65" s="855">
        <v>2117</v>
      </c>
    </row>
    <row r="66" spans="1:21">
      <c r="K66" s="625" t="s">
        <v>111</v>
      </c>
      <c r="L66" s="855">
        <v>2216</v>
      </c>
    </row>
    <row r="67" spans="1:21">
      <c r="K67" s="625" t="s">
        <v>557</v>
      </c>
      <c r="L67" s="855">
        <v>3943</v>
      </c>
    </row>
    <row r="68" spans="1:21">
      <c r="K68" s="625" t="s">
        <v>974</v>
      </c>
      <c r="L68" s="855">
        <v>4459</v>
      </c>
    </row>
    <row r="69" spans="1:21">
      <c r="K69" s="625" t="s">
        <v>558</v>
      </c>
      <c r="L69" s="855">
        <v>6244</v>
      </c>
    </row>
    <row r="70" spans="1:21">
      <c r="K70" s="625" t="s">
        <v>110</v>
      </c>
      <c r="L70" s="855">
        <v>22395</v>
      </c>
    </row>
    <row r="71" spans="1:21">
      <c r="L71" s="190">
        <f>SUM(L62:L70)</f>
        <v>42159</v>
      </c>
    </row>
    <row r="72" spans="1:21">
      <c r="H72" s="625"/>
      <c r="I72" s="785"/>
    </row>
    <row r="75" spans="1:21" ht="10.5" customHeight="1"/>
    <row r="76" spans="1:21" ht="18.75">
      <c r="A76" s="228" t="s">
        <v>643</v>
      </c>
      <c r="T76" s="1031"/>
      <c r="U76" s="1031"/>
    </row>
    <row r="77" spans="1:21" ht="12">
      <c r="A77" s="592" t="s">
        <v>975</v>
      </c>
      <c r="T77" s="1031"/>
      <c r="U77" s="1031"/>
    </row>
    <row r="78" spans="1:21" ht="12">
      <c r="A78" s="592"/>
      <c r="T78" s="1031"/>
      <c r="U78" s="1031"/>
    </row>
    <row r="79" spans="1:21" s="552" customFormat="1" ht="12">
      <c r="A79" s="1087" t="s">
        <v>624</v>
      </c>
      <c r="T79" s="1032"/>
      <c r="U79" s="1032"/>
    </row>
    <row r="80" spans="1:21" s="552" customFormat="1" ht="6" customHeight="1">
      <c r="A80" s="1087"/>
      <c r="T80" s="1032"/>
      <c r="U80" s="1032"/>
    </row>
    <row r="81" spans="1:21" s="552" customFormat="1" ht="12">
      <c r="A81" s="1087" t="s">
        <v>574</v>
      </c>
      <c r="T81" s="1032"/>
      <c r="U81" s="1032"/>
    </row>
    <row r="82" spans="1:21" s="552" customFormat="1" ht="12">
      <c r="A82" s="1087" t="s">
        <v>575</v>
      </c>
      <c r="T82" s="1032"/>
      <c r="U82" s="1032"/>
    </row>
    <row r="83" spans="1:21" s="552" customFormat="1" ht="12">
      <c r="A83" s="1087" t="s">
        <v>576</v>
      </c>
      <c r="T83" s="1032"/>
      <c r="U83" s="1032"/>
    </row>
    <row r="84" spans="1:21" s="552" customFormat="1" ht="12">
      <c r="A84" s="1087" t="s">
        <v>577</v>
      </c>
      <c r="T84" s="1032"/>
      <c r="U84" s="1032"/>
    </row>
    <row r="85" spans="1:21" s="552" customFormat="1" ht="12">
      <c r="A85" s="1087" t="s">
        <v>578</v>
      </c>
      <c r="T85" s="1032"/>
      <c r="U85" s="1032"/>
    </row>
    <row r="86" spans="1:21">
      <c r="T86" s="1031"/>
      <c r="U86" s="1031"/>
    </row>
    <row r="87" spans="1:21" s="777" customFormat="1" ht="15.75">
      <c r="A87" s="175" t="s">
        <v>1100</v>
      </c>
      <c r="C87" s="400"/>
      <c r="T87" s="1033"/>
      <c r="U87" s="1033"/>
    </row>
    <row r="88" spans="1:21" ht="15">
      <c r="A88" s="1088"/>
      <c r="T88" s="1031"/>
      <c r="U88" s="1031"/>
    </row>
    <row r="89" spans="1:21" ht="24.75" customHeight="1">
      <c r="E89" s="1089" t="s">
        <v>681</v>
      </c>
      <c r="F89" s="1090"/>
      <c r="G89" s="1090"/>
      <c r="H89" s="1090"/>
      <c r="I89" s="1090"/>
      <c r="J89" s="1091"/>
      <c r="K89" s="1463" t="s">
        <v>735</v>
      </c>
      <c r="M89" s="1092"/>
      <c r="N89" s="57"/>
      <c r="O89" s="57"/>
      <c r="P89" s="730"/>
      <c r="T89" s="1031"/>
      <c r="U89" s="1031"/>
    </row>
    <row r="90" spans="1:21">
      <c r="E90" s="1357" t="s">
        <v>680</v>
      </c>
      <c r="F90" s="1358"/>
      <c r="G90" s="1358"/>
      <c r="H90" s="1358"/>
      <c r="I90" s="1358"/>
      <c r="J90" s="1358"/>
      <c r="K90" s="1465">
        <v>75</v>
      </c>
      <c r="T90" s="1031"/>
      <c r="U90" s="1031"/>
    </row>
    <row r="91" spans="1:21">
      <c r="B91" s="728"/>
      <c r="E91" s="1355" t="s">
        <v>678</v>
      </c>
      <c r="F91" s="1356"/>
      <c r="G91" s="1356"/>
      <c r="H91" s="1356"/>
      <c r="I91" s="1356"/>
      <c r="J91" s="1356"/>
      <c r="K91" s="1464">
        <v>64</v>
      </c>
      <c r="T91" s="1031"/>
      <c r="U91" s="1031"/>
    </row>
    <row r="92" spans="1:21">
      <c r="E92" s="1357" t="s">
        <v>978</v>
      </c>
      <c r="F92" s="1358"/>
      <c r="G92" s="1358"/>
      <c r="H92" s="1358"/>
      <c r="I92" s="1358"/>
      <c r="J92" s="1358"/>
      <c r="K92" s="1465">
        <v>62</v>
      </c>
      <c r="T92" s="1031"/>
      <c r="U92" s="1031"/>
    </row>
    <row r="93" spans="1:21">
      <c r="E93" s="1355" t="s">
        <v>677</v>
      </c>
      <c r="F93" s="1356"/>
      <c r="G93" s="1356"/>
      <c r="H93" s="1356"/>
      <c r="I93" s="1356"/>
      <c r="J93" s="1356"/>
      <c r="K93" s="1464">
        <v>28</v>
      </c>
      <c r="T93" s="1031"/>
      <c r="U93" s="1031"/>
    </row>
    <row r="94" spans="1:21">
      <c r="E94" s="1357" t="s">
        <v>679</v>
      </c>
      <c r="F94" s="1358"/>
      <c r="G94" s="1358"/>
      <c r="H94" s="1358"/>
      <c r="I94" s="1358"/>
      <c r="J94" s="1358"/>
      <c r="K94" s="1465">
        <v>13</v>
      </c>
      <c r="T94" s="1031"/>
      <c r="U94" s="1031"/>
    </row>
    <row r="95" spans="1:21">
      <c r="E95" s="1355" t="s">
        <v>976</v>
      </c>
      <c r="F95" s="1356"/>
      <c r="G95" s="1356"/>
      <c r="H95" s="1356"/>
      <c r="I95" s="1356"/>
      <c r="J95" s="1356"/>
      <c r="K95" s="1464">
        <v>10</v>
      </c>
      <c r="T95" s="1031"/>
      <c r="U95" s="1031"/>
    </row>
    <row r="96" spans="1:21">
      <c r="E96" s="1357" t="s">
        <v>789</v>
      </c>
      <c r="F96" s="1358"/>
      <c r="G96" s="1358"/>
      <c r="H96" s="1358"/>
      <c r="I96" s="1358"/>
      <c r="J96" s="1358"/>
      <c r="K96" s="1465">
        <v>7</v>
      </c>
      <c r="T96" s="1031"/>
      <c r="U96" s="1031"/>
    </row>
    <row r="97" spans="5:21">
      <c r="E97" s="1355" t="s">
        <v>752</v>
      </c>
      <c r="F97" s="1356"/>
      <c r="G97" s="1356"/>
      <c r="H97" s="1356"/>
      <c r="I97" s="1356"/>
      <c r="J97" s="1356"/>
      <c r="K97" s="1464">
        <v>6</v>
      </c>
      <c r="T97" s="1031"/>
      <c r="U97" s="1031"/>
    </row>
    <row r="98" spans="5:21">
      <c r="E98" s="1357" t="s">
        <v>1101</v>
      </c>
      <c r="F98" s="1358"/>
      <c r="G98" s="1358"/>
      <c r="H98" s="1358"/>
      <c r="I98" s="1358"/>
      <c r="J98" s="1358"/>
      <c r="K98" s="1465">
        <v>6</v>
      </c>
      <c r="T98" s="1031"/>
      <c r="U98" s="1031"/>
    </row>
    <row r="99" spans="5:21">
      <c r="E99" s="1355" t="s">
        <v>1102</v>
      </c>
      <c r="F99" s="1356"/>
      <c r="G99" s="1356"/>
      <c r="H99" s="1356"/>
      <c r="I99" s="1356"/>
      <c r="J99" s="1356"/>
      <c r="K99" s="1464">
        <v>5</v>
      </c>
      <c r="T99" s="1031"/>
      <c r="U99" s="1031"/>
    </row>
    <row r="100" spans="5:21">
      <c r="E100" s="1357" t="s">
        <v>751</v>
      </c>
      <c r="F100" s="1358"/>
      <c r="G100" s="1358"/>
      <c r="H100" s="1358"/>
      <c r="I100" s="1358"/>
      <c r="J100" s="1358"/>
      <c r="K100" s="1465">
        <v>4</v>
      </c>
      <c r="T100" s="1031"/>
      <c r="U100" s="1031"/>
    </row>
    <row r="101" spans="5:21">
      <c r="E101" s="1355" t="s">
        <v>977</v>
      </c>
      <c r="F101" s="1356"/>
      <c r="G101" s="1356"/>
      <c r="H101" s="1356"/>
      <c r="I101" s="1356"/>
      <c r="J101" s="1356"/>
      <c r="K101" s="1464">
        <v>3</v>
      </c>
      <c r="T101" s="1031"/>
      <c r="U101" s="1031"/>
    </row>
    <row r="102" spans="5:21">
      <c r="E102" s="1357" t="s">
        <v>1103</v>
      </c>
      <c r="F102" s="1358"/>
      <c r="G102" s="1358"/>
      <c r="H102" s="1358"/>
      <c r="I102" s="1358"/>
      <c r="J102" s="1358"/>
      <c r="K102" s="1465">
        <v>3</v>
      </c>
      <c r="M102" s="1031"/>
      <c r="N102" s="1031"/>
    </row>
    <row r="103" spans="5:21">
      <c r="E103" s="1355" t="s">
        <v>1104</v>
      </c>
      <c r="F103" s="1356"/>
      <c r="G103" s="1356"/>
      <c r="H103" s="1356"/>
      <c r="I103" s="1356"/>
      <c r="J103" s="1356"/>
      <c r="K103" s="1464">
        <v>2</v>
      </c>
      <c r="T103" s="1031"/>
      <c r="U103" s="1031"/>
    </row>
    <row r="104" spans="5:21">
      <c r="E104" s="1357" t="s">
        <v>1105</v>
      </c>
      <c r="F104" s="1358"/>
      <c r="G104" s="1358"/>
      <c r="H104" s="1358"/>
      <c r="I104" s="1358"/>
      <c r="J104" s="1358"/>
      <c r="K104" s="1465">
        <v>2</v>
      </c>
      <c r="T104" s="1031"/>
      <c r="U104" s="1031"/>
    </row>
    <row r="105" spans="5:21">
      <c r="E105" s="1355" t="s">
        <v>1106</v>
      </c>
      <c r="F105" s="1356"/>
      <c r="G105" s="1356"/>
      <c r="H105" s="1356"/>
      <c r="I105" s="1356"/>
      <c r="J105" s="1356"/>
      <c r="K105" s="1464">
        <v>2</v>
      </c>
      <c r="T105" s="1031"/>
      <c r="U105" s="1031"/>
    </row>
    <row r="106" spans="5:21">
      <c r="E106" s="1357" t="s">
        <v>1107</v>
      </c>
      <c r="F106" s="1358"/>
      <c r="G106" s="1358"/>
      <c r="H106" s="1358"/>
      <c r="I106" s="1358"/>
      <c r="J106" s="1358"/>
      <c r="K106" s="1465">
        <v>2</v>
      </c>
      <c r="T106" s="1031"/>
      <c r="U106" s="1031"/>
    </row>
    <row r="107" spans="5:21">
      <c r="E107" s="1355" t="s">
        <v>734</v>
      </c>
      <c r="F107" s="1356"/>
      <c r="G107" s="1356"/>
      <c r="H107" s="1356"/>
      <c r="I107" s="1356"/>
      <c r="J107" s="1356"/>
      <c r="K107" s="1464">
        <v>1</v>
      </c>
      <c r="T107" s="1031"/>
      <c r="U107" s="1031"/>
    </row>
    <row r="108" spans="5:21">
      <c r="E108" s="1357" t="s">
        <v>1108</v>
      </c>
      <c r="F108" s="1358"/>
      <c r="G108" s="1358"/>
      <c r="H108" s="1358"/>
      <c r="I108" s="1358"/>
      <c r="J108" s="1358"/>
      <c r="K108" s="1465">
        <v>1</v>
      </c>
    </row>
    <row r="109" spans="5:21">
      <c r="E109" s="1355" t="s">
        <v>1109</v>
      </c>
      <c r="F109" s="1356"/>
      <c r="G109" s="1356"/>
      <c r="H109" s="1356"/>
      <c r="I109" s="1356"/>
      <c r="J109" s="1356"/>
      <c r="K109" s="1464">
        <v>1</v>
      </c>
    </row>
  </sheetData>
  <mergeCells count="19">
    <mergeCell ref="U5:U6"/>
    <mergeCell ref="K5:K6"/>
    <mergeCell ref="M5:M6"/>
    <mergeCell ref="N5:O5"/>
    <mergeCell ref="P5:Q5"/>
    <mergeCell ref="R5:S5"/>
    <mergeCell ref="AE5:AE6"/>
    <mergeCell ref="A35:J35"/>
    <mergeCell ref="W5:W6"/>
    <mergeCell ref="X5:Y5"/>
    <mergeCell ref="Z5:AA5"/>
    <mergeCell ref="AB5:AC5"/>
    <mergeCell ref="AD5:AD6"/>
    <mergeCell ref="C5:C6"/>
    <mergeCell ref="D5:E5"/>
    <mergeCell ref="F5:G5"/>
    <mergeCell ref="H5:I5"/>
    <mergeCell ref="J5:J6"/>
    <mergeCell ref="T5:T6"/>
  </mergeCells>
  <pageMargins left="0.11811023622047245" right="0.11811023622047245" top="0.15748031496062992" bottom="0.15748031496062992" header="0.31496062992125984" footer="0.31496062992125984"/>
  <pageSetup paperSize="9" scale="93" fitToHeight="0" orientation="landscape" r:id="rId1"/>
  <rowBreaks count="2" manualBreakCount="2">
    <brk id="30" max="21" man="1"/>
    <brk id="75"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H53"/>
  <sheetViews>
    <sheetView showGridLines="0" view="pageLayout" zoomScaleNormal="100" zoomScaleSheetLayoutView="100" workbookViewId="0">
      <selection activeCell="E53" sqref="E53"/>
    </sheetView>
  </sheetViews>
  <sheetFormatPr baseColWidth="10" defaultColWidth="2" defaultRowHeight="11.25"/>
  <cols>
    <col min="1" max="1" width="17.6640625" style="57" customWidth="1"/>
    <col min="2" max="2" width="6.6640625" style="57" customWidth="1"/>
    <col min="3" max="5" width="7.6640625" style="57" customWidth="1"/>
    <col min="6" max="6" width="2.1640625" style="57" customWidth="1"/>
    <col min="7" max="9" width="7.6640625" style="57" customWidth="1"/>
    <col min="10" max="10" width="2.1640625" style="57" customWidth="1"/>
    <col min="11" max="13" width="7.6640625" style="57" customWidth="1"/>
    <col min="14" max="14" width="2.1640625" style="57" customWidth="1"/>
    <col min="15" max="15" width="7.6640625" style="57" customWidth="1"/>
    <col min="16" max="16" width="7.5" style="57" customWidth="1"/>
    <col min="17" max="17" width="4.5" style="57" bestFit="1" customWidth="1"/>
    <col min="18" max="19" width="5.1640625" style="57" bestFit="1" customWidth="1"/>
    <col min="20" max="20" width="8.5" style="57" bestFit="1" customWidth="1"/>
    <col min="21" max="21" width="5.1640625" style="57" customWidth="1"/>
    <col min="22" max="22" width="3.6640625" style="57" customWidth="1"/>
    <col min="23" max="23" width="5" style="57" customWidth="1"/>
    <col min="24" max="24" width="6" style="57" customWidth="1"/>
    <col min="25" max="25" width="26.5" style="57" customWidth="1"/>
    <col min="26" max="16384" width="2" style="57"/>
  </cols>
  <sheetData>
    <row r="1" spans="1:21" ht="21" customHeight="1">
      <c r="A1" s="228" t="s">
        <v>644</v>
      </c>
      <c r="C1" s="59"/>
      <c r="D1" s="59"/>
      <c r="E1" s="59"/>
      <c r="F1" s="59"/>
      <c r="G1" s="59"/>
      <c r="H1" s="59"/>
      <c r="I1" s="59"/>
      <c r="J1" s="59"/>
      <c r="K1" s="59"/>
      <c r="L1" s="59"/>
      <c r="M1" s="59"/>
      <c r="N1" s="59"/>
      <c r="O1" s="59"/>
      <c r="P1" s="59"/>
      <c r="Q1" s="59"/>
      <c r="U1" s="144"/>
    </row>
    <row r="2" spans="1:21">
      <c r="A2" s="26" t="s">
        <v>319</v>
      </c>
      <c r="U2" s="144"/>
    </row>
    <row r="3" spans="1:21" ht="13.5" customHeight="1" thickBot="1">
      <c r="C3" s="1621" t="s">
        <v>14</v>
      </c>
      <c r="D3" s="1622"/>
      <c r="E3" s="1622"/>
      <c r="F3" s="627"/>
      <c r="G3" s="1617" t="s">
        <v>119</v>
      </c>
      <c r="H3" s="1618"/>
      <c r="I3" s="1618"/>
      <c r="J3" s="627"/>
      <c r="K3" s="1619" t="s">
        <v>399</v>
      </c>
      <c r="L3" s="1620"/>
      <c r="M3" s="1620"/>
      <c r="N3" s="627"/>
    </row>
    <row r="4" spans="1:21" ht="3" customHeight="1" thickBot="1">
      <c r="B4" s="231"/>
      <c r="C4" s="140"/>
      <c r="D4" s="140"/>
      <c r="E4" s="140"/>
      <c r="F4" s="140"/>
      <c r="H4" s="140"/>
      <c r="I4" s="140"/>
      <c r="J4" s="140"/>
      <c r="L4" s="140"/>
      <c r="M4" s="140"/>
      <c r="N4" s="140"/>
      <c r="P4" s="198"/>
    </row>
    <row r="5" spans="1:21" ht="16.5" thickBot="1">
      <c r="B5" s="305">
        <v>2018</v>
      </c>
      <c r="C5" s="237" t="s">
        <v>117</v>
      </c>
      <c r="D5" s="1010" t="s">
        <v>118</v>
      </c>
      <c r="E5" s="237" t="s">
        <v>47</v>
      </c>
      <c r="G5" s="630" t="s">
        <v>117</v>
      </c>
      <c r="H5" s="636" t="s">
        <v>118</v>
      </c>
      <c r="I5" s="630" t="s">
        <v>47</v>
      </c>
      <c r="K5" s="638" t="s">
        <v>117</v>
      </c>
      <c r="L5" s="638" t="s">
        <v>118</v>
      </c>
      <c r="M5" s="638" t="s">
        <v>47</v>
      </c>
      <c r="O5" s="635" t="s">
        <v>38</v>
      </c>
    </row>
    <row r="6" spans="1:21" ht="16.149999999999999" customHeight="1" thickBot="1">
      <c r="A6" s="1613" t="s">
        <v>483</v>
      </c>
      <c r="B6" s="1614"/>
      <c r="C6" s="333">
        <v>4</v>
      </c>
      <c r="D6" s="1008">
        <v>13</v>
      </c>
      <c r="E6" s="195">
        <v>17</v>
      </c>
      <c r="F6" s="477"/>
      <c r="G6" s="628"/>
      <c r="H6" s="633">
        <v>2</v>
      </c>
      <c r="I6" s="629">
        <v>2</v>
      </c>
      <c r="J6" s="477"/>
      <c r="K6" s="639">
        <v>1</v>
      </c>
      <c r="L6" s="642"/>
      <c r="M6" s="640">
        <v>1</v>
      </c>
      <c r="N6" s="282"/>
      <c r="O6" s="644">
        <f>SUM(E6,I6,M6)</f>
        <v>20</v>
      </c>
    </row>
    <row r="7" spans="1:21" ht="16.149999999999999" customHeight="1" thickBot="1">
      <c r="A7" s="1613" t="s">
        <v>400</v>
      </c>
      <c r="B7" s="1614"/>
      <c r="C7" s="333">
        <v>2</v>
      </c>
      <c r="D7" s="1008">
        <v>6</v>
      </c>
      <c r="E7" s="195">
        <v>8</v>
      </c>
      <c r="F7" s="477"/>
      <c r="G7" s="628"/>
      <c r="H7" s="633">
        <v>2</v>
      </c>
      <c r="I7" s="629">
        <v>2</v>
      </c>
      <c r="J7" s="477"/>
      <c r="K7" s="639">
        <v>1</v>
      </c>
      <c r="L7" s="642"/>
      <c r="M7" s="640">
        <v>1</v>
      </c>
      <c r="N7" s="282"/>
      <c r="O7" s="644">
        <f>SUM(E7,I7,M7)</f>
        <v>11</v>
      </c>
      <c r="Q7" s="57">
        <f>O11</f>
        <v>480</v>
      </c>
      <c r="R7" s="57">
        <f>B5</f>
        <v>2018</v>
      </c>
      <c r="S7" s="57">
        <f>O6</f>
        <v>20</v>
      </c>
      <c r="T7" s="144">
        <f>S7/Q7</f>
        <v>4.1666666666666664E-2</v>
      </c>
      <c r="U7" s="144"/>
    </row>
    <row r="8" spans="1:21" ht="16.149999999999999" customHeight="1" thickBot="1">
      <c r="A8" s="1613" t="s">
        <v>401</v>
      </c>
      <c r="B8" s="1614"/>
      <c r="C8" s="333">
        <v>2</v>
      </c>
      <c r="D8" s="1008">
        <v>7</v>
      </c>
      <c r="E8" s="195">
        <v>9</v>
      </c>
      <c r="F8" s="477"/>
      <c r="G8" s="628"/>
      <c r="H8" s="633"/>
      <c r="I8" s="629"/>
      <c r="J8" s="477"/>
      <c r="K8" s="639"/>
      <c r="L8" s="641"/>
      <c r="M8" s="640"/>
      <c r="N8" s="282"/>
      <c r="O8" s="644">
        <f>SUM(E8,I8,M8)</f>
        <v>9</v>
      </c>
      <c r="Q8" s="57">
        <f>O19</f>
        <v>512</v>
      </c>
      <c r="R8" s="57">
        <f>B13</f>
        <v>2019</v>
      </c>
      <c r="S8" s="57">
        <f>O14</f>
        <v>21</v>
      </c>
      <c r="T8" s="905">
        <f>S8/Q8</f>
        <v>4.1015625E-2</v>
      </c>
    </row>
    <row r="9" spans="1:21" ht="4.1500000000000004" customHeight="1" thickBot="1">
      <c r="C9" s="282"/>
      <c r="D9" s="477"/>
      <c r="E9" s="282"/>
      <c r="F9" s="282"/>
      <c r="G9" s="282"/>
      <c r="H9" s="282"/>
      <c r="I9" s="282"/>
      <c r="J9" s="282"/>
      <c r="K9" s="282"/>
      <c r="L9" s="282"/>
      <c r="M9" s="282"/>
      <c r="N9" s="282"/>
      <c r="O9" s="646"/>
      <c r="T9" s="144"/>
    </row>
    <row r="10" spans="1:21" ht="22.5" customHeight="1" thickBot="1">
      <c r="A10" s="1615" t="s">
        <v>645</v>
      </c>
      <c r="B10" s="1616"/>
      <c r="C10" s="391">
        <v>658</v>
      </c>
      <c r="D10" s="1009">
        <v>1239</v>
      </c>
      <c r="E10" s="547">
        <v>1897</v>
      </c>
      <c r="F10" s="478"/>
      <c r="G10" s="631">
        <v>24</v>
      </c>
      <c r="H10" s="634">
        <v>121</v>
      </c>
      <c r="I10" s="632">
        <v>145</v>
      </c>
      <c r="J10" s="478"/>
      <c r="K10" s="642">
        <v>74</v>
      </c>
      <c r="L10" s="642">
        <v>282</v>
      </c>
      <c r="M10" s="643">
        <v>356</v>
      </c>
      <c r="N10" s="479"/>
      <c r="O10" s="645">
        <f>SUM(C10:D10,G10:H10,K10:L10)</f>
        <v>2398</v>
      </c>
      <c r="Q10" s="57">
        <f>O27</f>
        <v>519</v>
      </c>
      <c r="R10" s="57">
        <f>B21</f>
        <v>2020</v>
      </c>
      <c r="S10" s="57">
        <f>O22</f>
        <v>15</v>
      </c>
      <c r="T10" s="905">
        <f>S10/Q10</f>
        <v>2.8901734104046242E-2</v>
      </c>
    </row>
    <row r="11" spans="1:21" ht="12" thickBot="1">
      <c r="A11" s="1589" t="s">
        <v>412</v>
      </c>
      <c r="B11" s="1591"/>
      <c r="C11" s="391">
        <v>211</v>
      </c>
      <c r="D11" s="1009">
        <v>110</v>
      </c>
      <c r="E11" s="547">
        <v>321</v>
      </c>
      <c r="F11" s="478"/>
      <c r="G11" s="631">
        <v>66</v>
      </c>
      <c r="H11" s="634">
        <v>46</v>
      </c>
      <c r="I11" s="632">
        <v>112</v>
      </c>
      <c r="J11" s="478"/>
      <c r="K11" s="642">
        <v>31</v>
      </c>
      <c r="L11" s="642">
        <v>16</v>
      </c>
      <c r="M11" s="643">
        <v>47</v>
      </c>
      <c r="N11" s="479"/>
      <c r="O11" s="645">
        <f>SUM(E11,I11,M11)</f>
        <v>480</v>
      </c>
      <c r="Q11" s="57">
        <f>O35</f>
        <v>525</v>
      </c>
      <c r="R11" s="57">
        <f>B29</f>
        <v>2021</v>
      </c>
      <c r="S11" s="57">
        <f>O30</f>
        <v>20</v>
      </c>
      <c r="T11" s="905">
        <f>S11/Q11</f>
        <v>3.8095238095238099E-2</v>
      </c>
    </row>
    <row r="12" spans="1:21" ht="4.5" customHeight="1" thickBot="1">
      <c r="B12" s="189"/>
      <c r="D12" s="637"/>
      <c r="E12" s="65"/>
      <c r="L12"/>
      <c r="M12"/>
      <c r="O12" s="647"/>
      <c r="T12" s="905" t="e">
        <f>S12/Q12</f>
        <v>#DIV/0!</v>
      </c>
    </row>
    <row r="13" spans="1:21" ht="16.5" thickBot="1">
      <c r="B13" s="305">
        <v>2019</v>
      </c>
      <c r="C13" s="237" t="s">
        <v>117</v>
      </c>
      <c r="D13" s="1010" t="s">
        <v>118</v>
      </c>
      <c r="E13" s="237" t="s">
        <v>47</v>
      </c>
      <c r="G13" s="630" t="s">
        <v>117</v>
      </c>
      <c r="H13" s="636" t="s">
        <v>118</v>
      </c>
      <c r="I13" s="630" t="s">
        <v>47</v>
      </c>
      <c r="K13" s="638" t="s">
        <v>117</v>
      </c>
      <c r="L13" s="638" t="s">
        <v>118</v>
      </c>
      <c r="M13" s="638" t="s">
        <v>47</v>
      </c>
      <c r="O13" s="635" t="s">
        <v>38</v>
      </c>
      <c r="Q13" s="57">
        <f>O43</f>
        <v>499</v>
      </c>
      <c r="R13" s="57">
        <f>B37</f>
        <v>2022</v>
      </c>
      <c r="S13" s="57">
        <f>O38</f>
        <v>32</v>
      </c>
      <c r="T13" s="905">
        <f>S13/Q13</f>
        <v>6.4128256513026047E-2</v>
      </c>
    </row>
    <row r="14" spans="1:21" ht="16.149999999999999" customHeight="1" thickBot="1">
      <c r="A14" s="1613" t="s">
        <v>483</v>
      </c>
      <c r="B14" s="1614"/>
      <c r="C14" s="333">
        <v>4</v>
      </c>
      <c r="D14" s="1008">
        <v>10</v>
      </c>
      <c r="E14" s="195">
        <v>14</v>
      </c>
      <c r="F14" s="477"/>
      <c r="G14" s="628">
        <v>1</v>
      </c>
      <c r="H14" s="633">
        <v>5</v>
      </c>
      <c r="I14" s="629">
        <v>6</v>
      </c>
      <c r="J14" s="477"/>
      <c r="K14" s="642"/>
      <c r="L14" s="642">
        <v>1</v>
      </c>
      <c r="M14" s="640">
        <v>1</v>
      </c>
      <c r="N14" s="282"/>
      <c r="O14" s="644">
        <f>SUM(E14,I14,M14)</f>
        <v>21</v>
      </c>
    </row>
    <row r="15" spans="1:21" ht="16.149999999999999" customHeight="1" thickBot="1">
      <c r="A15" s="1613" t="s">
        <v>400</v>
      </c>
      <c r="B15" s="1614"/>
      <c r="C15" s="333">
        <v>3</v>
      </c>
      <c r="D15" s="1008">
        <v>5</v>
      </c>
      <c r="E15" s="195">
        <v>8</v>
      </c>
      <c r="F15" s="477"/>
      <c r="G15" s="628">
        <v>1</v>
      </c>
      <c r="H15" s="633">
        <v>5</v>
      </c>
      <c r="I15" s="629">
        <v>6</v>
      </c>
      <c r="J15" s="477"/>
      <c r="K15" s="642"/>
      <c r="L15" s="642"/>
      <c r="M15" s="640"/>
      <c r="N15" s="282"/>
      <c r="O15" s="644">
        <f>SUM(E15,I15,M15)</f>
        <v>14</v>
      </c>
      <c r="T15" s="904"/>
    </row>
    <row r="16" spans="1:21" ht="16.149999999999999" customHeight="1" thickBot="1">
      <c r="A16" s="1613" t="s">
        <v>401</v>
      </c>
      <c r="B16" s="1614"/>
      <c r="C16" s="333">
        <v>1</v>
      </c>
      <c r="D16" s="1008">
        <v>5</v>
      </c>
      <c r="E16" s="195">
        <v>6</v>
      </c>
      <c r="F16" s="477"/>
      <c r="G16" s="628"/>
      <c r="H16" s="633"/>
      <c r="I16" s="629"/>
      <c r="J16" s="477"/>
      <c r="K16" s="642"/>
      <c r="L16" s="642">
        <v>1</v>
      </c>
      <c r="M16" s="640">
        <v>1</v>
      </c>
      <c r="N16" s="282"/>
      <c r="O16" s="644">
        <f>SUM(E16,I16,M16)</f>
        <v>7</v>
      </c>
    </row>
    <row r="17" spans="1:34" ht="4.1500000000000004" customHeight="1" thickBot="1">
      <c r="C17" s="282"/>
      <c r="D17" s="477"/>
      <c r="E17" s="282"/>
      <c r="F17" s="282"/>
      <c r="G17" s="282"/>
      <c r="H17" s="282"/>
      <c r="I17" s="282"/>
      <c r="J17" s="282"/>
      <c r="K17" s="282"/>
      <c r="L17" s="282"/>
      <c r="M17" s="282"/>
      <c r="N17" s="282"/>
      <c r="O17" s="646"/>
    </row>
    <row r="18" spans="1:34" ht="21" customHeight="1" thickBot="1">
      <c r="A18" s="1615" t="s">
        <v>645</v>
      </c>
      <c r="B18" s="1616"/>
      <c r="C18" s="391">
        <v>655</v>
      </c>
      <c r="D18" s="1009">
        <v>1219</v>
      </c>
      <c r="E18" s="547">
        <v>1874</v>
      </c>
      <c r="F18" s="478"/>
      <c r="G18" s="631">
        <v>19</v>
      </c>
      <c r="H18" s="634">
        <v>117</v>
      </c>
      <c r="I18" s="632">
        <v>136</v>
      </c>
      <c r="J18" s="478"/>
      <c r="K18" s="642">
        <v>59</v>
      </c>
      <c r="L18" s="642">
        <v>228</v>
      </c>
      <c r="M18" s="643">
        <v>287</v>
      </c>
      <c r="N18" s="479"/>
      <c r="O18" s="645">
        <f>SUM(C18:D18,G18:H18,K18:L18)</f>
        <v>2297</v>
      </c>
      <c r="P18" s="167"/>
    </row>
    <row r="19" spans="1:34" s="167" customFormat="1" ht="16.5" customHeight="1" thickBot="1">
      <c r="A19" s="1589" t="s">
        <v>412</v>
      </c>
      <c r="B19" s="1591"/>
      <c r="C19" s="391">
        <v>234</v>
      </c>
      <c r="D19" s="1009">
        <v>122</v>
      </c>
      <c r="E19" s="547">
        <v>356</v>
      </c>
      <c r="F19" s="478"/>
      <c r="G19" s="631">
        <v>64</v>
      </c>
      <c r="H19" s="634">
        <v>44</v>
      </c>
      <c r="I19" s="632">
        <v>108</v>
      </c>
      <c r="J19" s="478"/>
      <c r="K19" s="642">
        <v>31</v>
      </c>
      <c r="L19" s="642">
        <v>17</v>
      </c>
      <c r="M19" s="643">
        <v>48</v>
      </c>
      <c r="N19" s="479"/>
      <c r="O19" s="645">
        <f>SUM(E19,I19,M19)</f>
        <v>512</v>
      </c>
    </row>
    <row r="20" spans="1:34" ht="4.1500000000000004" customHeight="1" thickBot="1">
      <c r="V20" s="144"/>
    </row>
    <row r="21" spans="1:34" ht="16.5" thickBot="1">
      <c r="B21" s="305">
        <v>2020</v>
      </c>
      <c r="C21" s="237" t="s">
        <v>117</v>
      </c>
      <c r="D21" s="1010" t="s">
        <v>118</v>
      </c>
      <c r="E21" s="237" t="s">
        <v>47</v>
      </c>
      <c r="G21" s="630" t="s">
        <v>117</v>
      </c>
      <c r="H21" s="636" t="s">
        <v>118</v>
      </c>
      <c r="I21" s="630" t="s">
        <v>47</v>
      </c>
      <c r="K21" s="638" t="s">
        <v>117</v>
      </c>
      <c r="L21" s="638" t="s">
        <v>118</v>
      </c>
      <c r="M21" s="638" t="s">
        <v>47</v>
      </c>
      <c r="O21" s="635" t="s">
        <v>38</v>
      </c>
      <c r="V21" s="144"/>
    </row>
    <row r="22" spans="1:34" ht="16.149999999999999" customHeight="1" thickBot="1">
      <c r="A22" s="1613" t="s">
        <v>483</v>
      </c>
      <c r="B22" s="1614"/>
      <c r="C22" s="333">
        <v>2</v>
      </c>
      <c r="D22" s="1008">
        <v>9</v>
      </c>
      <c r="E22" s="195">
        <v>11</v>
      </c>
      <c r="F22" s="748"/>
      <c r="G22" s="628"/>
      <c r="H22" s="633">
        <v>2</v>
      </c>
      <c r="I22" s="629">
        <v>2</v>
      </c>
      <c r="J22" s="748"/>
      <c r="K22" s="642"/>
      <c r="L22" s="642">
        <v>2</v>
      </c>
      <c r="M22" s="640">
        <v>2</v>
      </c>
      <c r="N22" s="728"/>
      <c r="O22" s="644">
        <f>SUM(E22,I22,M22)</f>
        <v>15</v>
      </c>
      <c r="Z22" s="903"/>
    </row>
    <row r="23" spans="1:34" ht="16.149999999999999" customHeight="1" thickBot="1">
      <c r="A23" s="1613" t="s">
        <v>400</v>
      </c>
      <c r="B23" s="1614"/>
      <c r="C23" s="333">
        <v>1</v>
      </c>
      <c r="D23" s="1008">
        <v>5</v>
      </c>
      <c r="E23" s="195">
        <v>6</v>
      </c>
      <c r="F23" s="748"/>
      <c r="G23" s="628"/>
      <c r="H23" s="633">
        <v>2</v>
      </c>
      <c r="I23" s="629">
        <v>2</v>
      </c>
      <c r="J23" s="748"/>
      <c r="K23" s="642"/>
      <c r="L23" s="642">
        <v>1</v>
      </c>
      <c r="M23" s="640">
        <v>1</v>
      </c>
      <c r="N23" s="728"/>
      <c r="O23" s="644">
        <f>SUM(E23,I23,M23)</f>
        <v>9</v>
      </c>
    </row>
    <row r="24" spans="1:34" ht="16.149999999999999" customHeight="1" thickBot="1">
      <c r="A24" s="1613" t="s">
        <v>401</v>
      </c>
      <c r="B24" s="1614"/>
      <c r="C24" s="333">
        <v>1</v>
      </c>
      <c r="D24" s="1008">
        <v>4</v>
      </c>
      <c r="E24" s="195">
        <v>5</v>
      </c>
      <c r="F24" s="748"/>
      <c r="G24" s="628"/>
      <c r="H24" s="633"/>
      <c r="I24" s="629"/>
      <c r="J24" s="748"/>
      <c r="K24" s="642"/>
      <c r="L24" s="642">
        <v>1</v>
      </c>
      <c r="M24" s="640">
        <v>1</v>
      </c>
      <c r="N24" s="728"/>
      <c r="O24" s="644">
        <f>SUM(E24,I24,M24)</f>
        <v>6</v>
      </c>
    </row>
    <row r="25" spans="1:34" ht="4.1500000000000004" customHeight="1" thickBot="1">
      <c r="C25" s="282"/>
      <c r="D25" s="477"/>
      <c r="E25" s="282"/>
      <c r="F25" s="728"/>
      <c r="G25" s="282"/>
      <c r="H25" s="282"/>
      <c r="I25" s="282"/>
      <c r="J25" s="728"/>
      <c r="K25" s="282"/>
      <c r="L25" s="282"/>
      <c r="M25" s="282"/>
      <c r="N25" s="728"/>
      <c r="O25" s="646"/>
    </row>
    <row r="26" spans="1:34" ht="22.5" customHeight="1" thickBot="1">
      <c r="A26" s="1615" t="s">
        <v>645</v>
      </c>
      <c r="B26" s="1616"/>
      <c r="C26" s="391">
        <v>709</v>
      </c>
      <c r="D26" s="1009">
        <v>1160</v>
      </c>
      <c r="E26" s="547">
        <v>1869</v>
      </c>
      <c r="F26" s="749"/>
      <c r="G26" s="631">
        <v>18</v>
      </c>
      <c r="H26" s="634">
        <v>108</v>
      </c>
      <c r="I26" s="632">
        <v>126</v>
      </c>
      <c r="J26" s="749"/>
      <c r="K26" s="642">
        <v>61</v>
      </c>
      <c r="L26" s="642">
        <v>247</v>
      </c>
      <c r="M26" s="643">
        <v>308</v>
      </c>
      <c r="N26" s="750"/>
      <c r="O26" s="645">
        <f>SUM(C26:D26,G26:H26,K26:L26)</f>
        <v>2303</v>
      </c>
    </row>
    <row r="27" spans="1:34" ht="16.149999999999999" customHeight="1" thickBot="1">
      <c r="A27" s="1589" t="s">
        <v>412</v>
      </c>
      <c r="B27" s="1591"/>
      <c r="C27" s="391">
        <v>245</v>
      </c>
      <c r="D27" s="1009">
        <v>124</v>
      </c>
      <c r="E27" s="547">
        <v>369</v>
      </c>
      <c r="F27" s="749"/>
      <c r="G27" s="631">
        <v>60</v>
      </c>
      <c r="H27" s="634">
        <v>39</v>
      </c>
      <c r="I27" s="632">
        <v>99</v>
      </c>
      <c r="J27" s="749"/>
      <c r="K27" s="642">
        <v>31</v>
      </c>
      <c r="L27" s="642">
        <v>20</v>
      </c>
      <c r="M27" s="643">
        <v>51</v>
      </c>
      <c r="N27" s="750"/>
      <c r="O27" s="645">
        <f>SUM(E27,I27,M27)</f>
        <v>519</v>
      </c>
    </row>
    <row r="28" spans="1:34" ht="4.1500000000000004" customHeight="1" thickBot="1">
      <c r="V28" s="144"/>
    </row>
    <row r="29" spans="1:34" ht="16.5" thickBot="1">
      <c r="B29" s="305">
        <v>2021</v>
      </c>
      <c r="C29" s="237" t="s">
        <v>117</v>
      </c>
      <c r="D29" s="1010" t="s">
        <v>118</v>
      </c>
      <c r="E29" s="237" t="s">
        <v>47</v>
      </c>
      <c r="G29" s="630" t="s">
        <v>117</v>
      </c>
      <c r="H29" s="636" t="s">
        <v>118</v>
      </c>
      <c r="I29" s="630" t="s">
        <v>47</v>
      </c>
      <c r="K29" s="638" t="s">
        <v>117</v>
      </c>
      <c r="L29" s="638" t="s">
        <v>118</v>
      </c>
      <c r="M29" s="638" t="s">
        <v>47</v>
      </c>
      <c r="O29" s="635" t="s">
        <v>38</v>
      </c>
    </row>
    <row r="30" spans="1:34" ht="16.149999999999999" customHeight="1" thickBot="1">
      <c r="A30" s="1613" t="s">
        <v>483</v>
      </c>
      <c r="B30" s="1614"/>
      <c r="C30" s="333">
        <v>2</v>
      </c>
      <c r="D30" s="1008">
        <v>10</v>
      </c>
      <c r="E30" s="195">
        <v>12</v>
      </c>
      <c r="F30" s="748"/>
      <c r="G30" s="628">
        <v>1</v>
      </c>
      <c r="H30" s="633">
        <v>4</v>
      </c>
      <c r="I30" s="629">
        <v>5</v>
      </c>
      <c r="J30" s="748"/>
      <c r="K30" s="642"/>
      <c r="L30" s="642">
        <v>3</v>
      </c>
      <c r="M30" s="640">
        <v>3</v>
      </c>
      <c r="N30" s="728"/>
      <c r="O30" s="644">
        <f>SUM(E30,I30,M30)</f>
        <v>20</v>
      </c>
    </row>
    <row r="31" spans="1:34" ht="16.149999999999999" customHeight="1" thickBot="1">
      <c r="A31" s="1613" t="s">
        <v>400</v>
      </c>
      <c r="B31" s="1614"/>
      <c r="C31" s="333">
        <v>2</v>
      </c>
      <c r="D31" s="1008">
        <v>10</v>
      </c>
      <c r="E31" s="195">
        <v>12</v>
      </c>
      <c r="F31" s="748"/>
      <c r="G31" s="628">
        <v>1</v>
      </c>
      <c r="H31" s="633">
        <v>4</v>
      </c>
      <c r="I31" s="629">
        <v>5</v>
      </c>
      <c r="J31" s="748"/>
      <c r="K31" s="642"/>
      <c r="L31" s="642">
        <v>2</v>
      </c>
      <c r="M31" s="640">
        <v>2</v>
      </c>
      <c r="N31" s="728"/>
      <c r="O31" s="644">
        <f>SUM(E31,I31,M31)</f>
        <v>19</v>
      </c>
    </row>
    <row r="32" spans="1:34" ht="16.149999999999999" customHeight="1" thickBot="1">
      <c r="A32" s="1613" t="s">
        <v>401</v>
      </c>
      <c r="B32" s="1614"/>
      <c r="C32" s="333"/>
      <c r="D32" s="1008"/>
      <c r="E32" s="195"/>
      <c r="F32" s="748"/>
      <c r="G32" s="628"/>
      <c r="H32" s="633"/>
      <c r="I32" s="629"/>
      <c r="J32" s="748"/>
      <c r="K32" s="642"/>
      <c r="L32" s="642">
        <v>1</v>
      </c>
      <c r="M32" s="640">
        <v>1</v>
      </c>
      <c r="N32" s="728"/>
      <c r="O32" s="644">
        <f>SUM(E32,I32,M32)</f>
        <v>1</v>
      </c>
      <c r="AD32" s="1014"/>
      <c r="AE32" s="1014"/>
      <c r="AF32" s="1014"/>
      <c r="AG32" s="1014"/>
      <c r="AH32" s="1014"/>
    </row>
    <row r="33" spans="1:34" ht="4.1500000000000004" customHeight="1" thickBot="1">
      <c r="C33" s="282"/>
      <c r="D33" s="477"/>
      <c r="E33" s="282"/>
      <c r="F33" s="728"/>
      <c r="G33" s="282"/>
      <c r="H33" s="282"/>
      <c r="I33" s="282"/>
      <c r="J33" s="728"/>
      <c r="K33" s="282"/>
      <c r="L33" s="282"/>
      <c r="M33" s="282"/>
      <c r="N33" s="728"/>
      <c r="O33" s="646"/>
    </row>
    <row r="34" spans="1:34" ht="26.25" customHeight="1" thickBot="1">
      <c r="A34" s="1615" t="s">
        <v>645</v>
      </c>
      <c r="B34" s="1616"/>
      <c r="C34" s="391">
        <v>591</v>
      </c>
      <c r="D34" s="1009">
        <v>1150</v>
      </c>
      <c r="E34" s="547">
        <v>1741</v>
      </c>
      <c r="F34" s="749"/>
      <c r="G34" s="1417" t="s">
        <v>803</v>
      </c>
      <c r="H34" s="1418">
        <v>104</v>
      </c>
      <c r="I34" s="632">
        <v>0</v>
      </c>
      <c r="J34" s="749"/>
      <c r="K34" s="642">
        <v>61</v>
      </c>
      <c r="L34" s="642">
        <v>258</v>
      </c>
      <c r="M34" s="643">
        <v>319</v>
      </c>
      <c r="N34" s="750"/>
      <c r="O34" s="645">
        <f>SUM(C34:D34,G34:H34,K34:L34)</f>
        <v>2164</v>
      </c>
      <c r="R34" s="168"/>
      <c r="S34" s="168" t="s">
        <v>87</v>
      </c>
      <c r="T34" s="168" t="s">
        <v>130</v>
      </c>
      <c r="U34" s="168" t="s">
        <v>47</v>
      </c>
      <c r="V34" s="57" t="s">
        <v>402</v>
      </c>
      <c r="X34" s="57" t="s">
        <v>403</v>
      </c>
    </row>
    <row r="35" spans="1:34" ht="16.149999999999999" customHeight="1" thickBot="1">
      <c r="A35" s="1589" t="s">
        <v>412</v>
      </c>
      <c r="B35" s="1591"/>
      <c r="C35" s="391">
        <v>242</v>
      </c>
      <c r="D35" s="1009">
        <v>130</v>
      </c>
      <c r="E35" s="547">
        <v>372</v>
      </c>
      <c r="F35" s="749"/>
      <c r="G35" s="631">
        <v>58</v>
      </c>
      <c r="H35" s="634">
        <v>42</v>
      </c>
      <c r="I35" s="632">
        <v>100</v>
      </c>
      <c r="J35" s="749"/>
      <c r="K35" s="642">
        <v>33</v>
      </c>
      <c r="L35" s="642">
        <v>20</v>
      </c>
      <c r="M35" s="643">
        <v>53</v>
      </c>
      <c r="N35" s="750"/>
      <c r="O35" s="645">
        <f>SUM(E35,I35,M35)</f>
        <v>525</v>
      </c>
      <c r="R35" s="168" t="s">
        <v>404</v>
      </c>
      <c r="S35" s="168">
        <f>C39+G39+K39</f>
        <v>3</v>
      </c>
      <c r="T35" s="168">
        <f>C40+G40+K40</f>
        <v>1</v>
      </c>
      <c r="U35" s="168">
        <f>SUM(S35:T35)</f>
        <v>4</v>
      </c>
      <c r="V35" s="57" t="s">
        <v>117</v>
      </c>
      <c r="W35" s="57">
        <f>SUM(C43,G43,K43)</f>
        <v>320</v>
      </c>
      <c r="X35" s="57">
        <f>SUM(C38,G38,K38)</f>
        <v>4</v>
      </c>
      <c r="Y35" s="144">
        <f>X35/W35</f>
        <v>1.2500000000000001E-2</v>
      </c>
    </row>
    <row r="36" spans="1:34" ht="4.1500000000000004" customHeight="1" thickBot="1">
      <c r="Y36" s="144"/>
    </row>
    <row r="37" spans="1:34" ht="16.5" thickBot="1">
      <c r="B37" s="305">
        <v>2022</v>
      </c>
      <c r="C37" s="237" t="s">
        <v>117</v>
      </c>
      <c r="D37" s="1010" t="s">
        <v>118</v>
      </c>
      <c r="E37" s="237" t="s">
        <v>47</v>
      </c>
      <c r="G37" s="630" t="s">
        <v>117</v>
      </c>
      <c r="H37" s="636" t="s">
        <v>118</v>
      </c>
      <c r="I37" s="630" t="s">
        <v>47</v>
      </c>
      <c r="K37" s="638" t="s">
        <v>117</v>
      </c>
      <c r="L37" s="638" t="s">
        <v>118</v>
      </c>
      <c r="M37" s="638" t="s">
        <v>47</v>
      </c>
      <c r="O37" s="635" t="s">
        <v>38</v>
      </c>
      <c r="R37" s="168" t="s">
        <v>405</v>
      </c>
      <c r="S37" s="57">
        <f>D39+H39+L39</f>
        <v>20</v>
      </c>
      <c r="T37" s="57">
        <f>D40+H40+L40</f>
        <v>8</v>
      </c>
      <c r="U37" s="57">
        <f>SUM(S37:T37)</f>
        <v>28</v>
      </c>
      <c r="V37" s="144" t="s">
        <v>118</v>
      </c>
      <c r="W37" s="57">
        <f>SUM(D43,H43,L43)</f>
        <v>179</v>
      </c>
      <c r="X37" s="57">
        <f>SUM(D38,H38,L38)</f>
        <v>28</v>
      </c>
      <c r="Y37" s="144">
        <f t="shared" ref="Y37" si="0">X37/W37</f>
        <v>0.15642458100558659</v>
      </c>
    </row>
    <row r="38" spans="1:34" ht="16.149999999999999" customHeight="1" thickBot="1">
      <c r="A38" s="1613" t="s">
        <v>483</v>
      </c>
      <c r="B38" s="1614"/>
      <c r="C38" s="1362">
        <f>C39+C40</f>
        <v>3</v>
      </c>
      <c r="D38" s="1362">
        <f>D39+D40</f>
        <v>16</v>
      </c>
      <c r="E38" s="1362">
        <f>SUM(E39:E40)</f>
        <v>19</v>
      </c>
      <c r="F38" s="1363"/>
      <c r="G38" s="1364">
        <f>G39+G40</f>
        <v>1</v>
      </c>
      <c r="H38" s="1364">
        <f>H39+H40</f>
        <v>7</v>
      </c>
      <c r="I38" s="1364">
        <f t="shared" ref="I38" si="1">SUM(I39:I40)</f>
        <v>8</v>
      </c>
      <c r="J38" s="1363"/>
      <c r="K38" s="1365">
        <f>K39+K40</f>
        <v>0</v>
      </c>
      <c r="L38" s="1365">
        <f>L39+L40</f>
        <v>5</v>
      </c>
      <c r="M38" s="1365">
        <f>SUM(K38:L38)</f>
        <v>5</v>
      </c>
      <c r="N38" s="1366"/>
      <c r="O38" s="1367">
        <f>SUM(E38,I38,M38)</f>
        <v>32</v>
      </c>
      <c r="R38" s="168"/>
      <c r="S38" s="168">
        <f>SUM(S35:S37)</f>
        <v>23</v>
      </c>
      <c r="T38" s="168">
        <f>SUM(T35:T37)</f>
        <v>9</v>
      </c>
      <c r="U38" s="168">
        <f>SUM(U35:U37)</f>
        <v>32</v>
      </c>
    </row>
    <row r="39" spans="1:34" ht="16.149999999999999" customHeight="1" thickBot="1">
      <c r="A39" s="1613" t="s">
        <v>400</v>
      </c>
      <c r="B39" s="1614"/>
      <c r="C39" s="1362">
        <v>2</v>
      </c>
      <c r="D39" s="1368">
        <v>11</v>
      </c>
      <c r="E39" s="1369">
        <f>SUM(C39:D39)</f>
        <v>13</v>
      </c>
      <c r="F39" s="1363"/>
      <c r="G39" s="1370">
        <v>1</v>
      </c>
      <c r="H39" s="1371">
        <v>7</v>
      </c>
      <c r="I39" s="1364">
        <f>SUM(G39:H39)</f>
        <v>8</v>
      </c>
      <c r="J39" s="1363"/>
      <c r="K39" s="1372"/>
      <c r="L39" s="1372">
        <v>2</v>
      </c>
      <c r="M39" s="1365">
        <f t="shared" ref="M39:M40" si="2">SUM(K39:L39)</f>
        <v>2</v>
      </c>
      <c r="N39" s="1366"/>
      <c r="O39" s="1367">
        <f>SUM(E39,I39,M39)</f>
        <v>23</v>
      </c>
      <c r="S39" s="1093">
        <f>S38/U38</f>
        <v>0.71875</v>
      </c>
    </row>
    <row r="40" spans="1:34" ht="16.149999999999999" customHeight="1" thickBot="1">
      <c r="A40" s="1613" t="s">
        <v>401</v>
      </c>
      <c r="B40" s="1614"/>
      <c r="C40" s="1362">
        <v>1</v>
      </c>
      <c r="D40" s="1368">
        <v>5</v>
      </c>
      <c r="E40" s="1369">
        <f>SUM(C40:D40)</f>
        <v>6</v>
      </c>
      <c r="F40" s="1363"/>
      <c r="G40" s="1370"/>
      <c r="H40" s="1371"/>
      <c r="I40" s="1364"/>
      <c r="J40" s="1363"/>
      <c r="K40" s="1372"/>
      <c r="L40" s="1372">
        <v>3</v>
      </c>
      <c r="M40" s="1365">
        <f t="shared" si="2"/>
        <v>3</v>
      </c>
      <c r="N40" s="1366"/>
      <c r="O40" s="1367">
        <f>SUM(E40,I40,M40)</f>
        <v>9</v>
      </c>
      <c r="T40" s="1135"/>
      <c r="AD40" s="1014"/>
      <c r="AE40" s="1014"/>
      <c r="AF40" s="1014"/>
      <c r="AG40" s="1014"/>
      <c r="AH40" s="1014"/>
    </row>
    <row r="41" spans="1:34" ht="4.1500000000000004" customHeight="1" thickBot="1">
      <c r="C41" s="1366"/>
      <c r="D41" s="1363"/>
      <c r="E41" s="1366"/>
      <c r="F41" s="1366"/>
      <c r="G41" s="1366"/>
      <c r="H41" s="1366"/>
      <c r="I41" s="1366"/>
      <c r="J41" s="1366"/>
      <c r="K41" s="1366"/>
      <c r="L41" s="1366"/>
      <c r="M41" s="1366"/>
      <c r="N41" s="1366"/>
      <c r="O41" s="1373"/>
    </row>
    <row r="42" spans="1:34" ht="24.75" customHeight="1" thickBot="1">
      <c r="A42" s="1615" t="s">
        <v>645</v>
      </c>
      <c r="B42" s="1616"/>
      <c r="C42" s="1321">
        <v>589</v>
      </c>
      <c r="D42" s="1374">
        <v>1570</v>
      </c>
      <c r="E42" s="1375">
        <f>SUM(C42:D42)</f>
        <v>2159</v>
      </c>
      <c r="F42" s="1376"/>
      <c r="G42" s="1377">
        <v>35</v>
      </c>
      <c r="H42" s="1378">
        <v>124</v>
      </c>
      <c r="I42" s="1379">
        <f>SUM(G42:H42)</f>
        <v>159</v>
      </c>
      <c r="J42" s="1376"/>
      <c r="K42" s="1372">
        <v>59</v>
      </c>
      <c r="L42" s="1372">
        <v>374</v>
      </c>
      <c r="M42" s="1380">
        <f>SUM(K42:L42)</f>
        <v>433</v>
      </c>
      <c r="N42" s="1322"/>
      <c r="O42" s="1381">
        <f>SUM(C42:D42,G42:H42,K42:L42)</f>
        <v>2751</v>
      </c>
      <c r="R42" s="168"/>
      <c r="S42" s="168"/>
      <c r="T42" s="168"/>
      <c r="U42" s="168"/>
    </row>
    <row r="43" spans="1:34" ht="16.149999999999999" customHeight="1" thickBot="1">
      <c r="A43" s="1589" t="s">
        <v>412</v>
      </c>
      <c r="B43" s="1591"/>
      <c r="C43" s="1321">
        <v>232</v>
      </c>
      <c r="D43" s="1374">
        <v>128</v>
      </c>
      <c r="E43" s="1375">
        <f>SUM(C43:D43)</f>
        <v>360</v>
      </c>
      <c r="F43" s="1376"/>
      <c r="G43" s="1377">
        <v>54</v>
      </c>
      <c r="H43" s="1378">
        <v>35</v>
      </c>
      <c r="I43" s="1379">
        <f>SUM(G43:H43)</f>
        <v>89</v>
      </c>
      <c r="J43" s="1376"/>
      <c r="K43" s="1372">
        <v>34</v>
      </c>
      <c r="L43" s="1372">
        <v>16</v>
      </c>
      <c r="M43" s="1380">
        <f>SUM(K43:L43)</f>
        <v>50</v>
      </c>
      <c r="N43" s="1322"/>
      <c r="O43" s="1381">
        <f>SUM(E43,I43,M43)</f>
        <v>499</v>
      </c>
      <c r="R43" s="168"/>
      <c r="S43" s="168"/>
      <c r="T43" s="168"/>
      <c r="U43" s="168"/>
      <c r="Y43" s="144"/>
    </row>
    <row r="44" spans="1:34" ht="3" customHeight="1">
      <c r="Q44" s="903"/>
    </row>
    <row r="51" spans="7:9">
      <c r="G51" s="1013"/>
      <c r="H51" s="1013"/>
      <c r="I51" s="1013"/>
    </row>
    <row r="52" spans="7:9">
      <c r="G52" s="1013"/>
      <c r="H52" s="1013"/>
      <c r="I52" s="1013"/>
    </row>
    <row r="53" spans="7:9">
      <c r="G53" s="1013"/>
      <c r="H53" s="1013"/>
      <c r="I53" s="1013"/>
    </row>
  </sheetData>
  <mergeCells count="28">
    <mergeCell ref="A26:B26"/>
    <mergeCell ref="A27:B27"/>
    <mergeCell ref="A18:B18"/>
    <mergeCell ref="A19:B19"/>
    <mergeCell ref="A22:B22"/>
    <mergeCell ref="A23:B23"/>
    <mergeCell ref="A24:B24"/>
    <mergeCell ref="A10:B10"/>
    <mergeCell ref="A11:B11"/>
    <mergeCell ref="A14:B14"/>
    <mergeCell ref="A15:B15"/>
    <mergeCell ref="A16:B16"/>
    <mergeCell ref="A40:B40"/>
    <mergeCell ref="A42:B42"/>
    <mergeCell ref="A43:B43"/>
    <mergeCell ref="G3:I3"/>
    <mergeCell ref="K3:M3"/>
    <mergeCell ref="A30:B30"/>
    <mergeCell ref="A38:B38"/>
    <mergeCell ref="A39:B39"/>
    <mergeCell ref="C3:E3"/>
    <mergeCell ref="A35:B35"/>
    <mergeCell ref="A31:B31"/>
    <mergeCell ref="A32:B32"/>
    <mergeCell ref="A34:B34"/>
    <mergeCell ref="A6:B6"/>
    <mergeCell ref="A7:B7"/>
    <mergeCell ref="A8:B8"/>
  </mergeCells>
  <pageMargins left="0.11811023622047245" right="0.11811023622047245" top="0" bottom="0" header="0.31496062992125984" footer="0.31496062992125984"/>
  <pageSetup paperSize="9" scale="93" fitToWidth="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W36"/>
  <sheetViews>
    <sheetView showGridLines="0" zoomScaleNormal="100" zoomScaleSheetLayoutView="110" workbookViewId="0">
      <selection activeCell="Q12" sqref="Q12"/>
    </sheetView>
  </sheetViews>
  <sheetFormatPr baseColWidth="10" defaultRowHeight="10.5"/>
  <cols>
    <col min="1" max="1" width="3" customWidth="1"/>
    <col min="2" max="2" width="24.6640625" customWidth="1"/>
    <col min="3" max="6" width="7.5" customWidth="1"/>
    <col min="7" max="7" width="3" customWidth="1"/>
    <col min="8" max="8" width="24.6640625" bestFit="1" customWidth="1"/>
    <col min="9" max="12" width="7.5" customWidth="1"/>
    <col min="13" max="13" width="3" customWidth="1"/>
    <col min="14" max="14" width="24.6640625" bestFit="1" customWidth="1"/>
    <col min="15" max="18" width="7.5" customWidth="1"/>
    <col min="19" max="19" width="5.6640625" customWidth="1"/>
  </cols>
  <sheetData>
    <row r="1" spans="2:23" ht="18.75">
      <c r="B1" s="230" t="s">
        <v>646</v>
      </c>
      <c r="H1" s="230"/>
    </row>
    <row r="3" spans="2:23" ht="11.25">
      <c r="B3" s="413" t="s">
        <v>1017</v>
      </c>
      <c r="H3" s="413"/>
      <c r="N3" s="153" t="s">
        <v>675</v>
      </c>
      <c r="O3">
        <f>(EffectifBIATSS!H28+EffectifBIATSS!L28)/2</f>
        <v>414</v>
      </c>
      <c r="P3" t="s">
        <v>510</v>
      </c>
      <c r="Q3">
        <f>O3+DépartsENS!J19</f>
        <v>1061.5</v>
      </c>
      <c r="S3" s="152"/>
    </row>
    <row r="4" spans="2:23">
      <c r="N4" s="153" t="s">
        <v>552</v>
      </c>
      <c r="O4">
        <f>R32</f>
        <v>36</v>
      </c>
      <c r="P4" t="s">
        <v>552</v>
      </c>
      <c r="Q4">
        <f>O4+DépartsENS!J20</f>
        <v>64</v>
      </c>
    </row>
    <row r="5" spans="2:23">
      <c r="N5" s="153" t="s">
        <v>553</v>
      </c>
      <c r="O5" s="1130">
        <f>R14</f>
        <v>18</v>
      </c>
      <c r="P5" t="s">
        <v>553</v>
      </c>
      <c r="Q5" s="1130">
        <f>O5+DépartsENS!J21</f>
        <v>46</v>
      </c>
    </row>
    <row r="6" spans="2:23" ht="12.75">
      <c r="B6" s="412" t="s">
        <v>647</v>
      </c>
      <c r="H6" s="412"/>
      <c r="O6">
        <f>(O5+O4)/2</f>
        <v>27</v>
      </c>
      <c r="Q6">
        <f>(Q4+Q5)/2</f>
        <v>55</v>
      </c>
    </row>
    <row r="7" spans="2:23">
      <c r="O7" s="907">
        <f>O6/O3</f>
        <v>6.5217391304347824E-2</v>
      </c>
      <c r="Q7" s="907">
        <f>Q6/Q3</f>
        <v>5.181347150259067E-2</v>
      </c>
    </row>
    <row r="8" spans="2:23" ht="14.25" customHeight="1" thickBot="1">
      <c r="B8" s="797"/>
      <c r="H8" s="797"/>
    </row>
    <row r="9" spans="2:23" ht="18" customHeight="1">
      <c r="B9" s="548">
        <v>2020</v>
      </c>
      <c r="C9" s="482" t="s">
        <v>353</v>
      </c>
      <c r="D9" s="482" t="s">
        <v>354</v>
      </c>
      <c r="E9" s="482" t="s">
        <v>355</v>
      </c>
      <c r="F9" s="482" t="s">
        <v>47</v>
      </c>
      <c r="H9" s="548">
        <v>2021</v>
      </c>
      <c r="I9" s="482" t="s">
        <v>353</v>
      </c>
      <c r="J9" s="482" t="s">
        <v>354</v>
      </c>
      <c r="K9" s="482" t="s">
        <v>355</v>
      </c>
      <c r="L9" s="482" t="s">
        <v>47</v>
      </c>
      <c r="N9" s="548">
        <v>2022</v>
      </c>
      <c r="O9" s="482" t="s">
        <v>353</v>
      </c>
      <c r="P9" s="482" t="s">
        <v>354</v>
      </c>
      <c r="Q9" s="482" t="s">
        <v>355</v>
      </c>
      <c r="R9" s="482" t="s">
        <v>47</v>
      </c>
    </row>
    <row r="10" spans="2:23" s="139" customFormat="1" ht="18" customHeight="1">
      <c r="B10" s="92" t="s">
        <v>411</v>
      </c>
      <c r="C10" s="876">
        <v>2</v>
      </c>
      <c r="D10" s="876">
        <v>1</v>
      </c>
      <c r="E10" s="876"/>
      <c r="F10" s="551">
        <v>3</v>
      </c>
      <c r="H10" s="92" t="s">
        <v>411</v>
      </c>
      <c r="I10" s="876"/>
      <c r="J10" s="876"/>
      <c r="K10" s="876">
        <v>1</v>
      </c>
      <c r="L10" s="551">
        <v>3</v>
      </c>
      <c r="N10" s="92" t="s">
        <v>411</v>
      </c>
      <c r="O10" s="1484">
        <v>2</v>
      </c>
      <c r="P10" s="1484"/>
      <c r="Q10" s="1484"/>
      <c r="R10" s="551">
        <f>SUM(O10:Q10)</f>
        <v>2</v>
      </c>
    </row>
    <row r="11" spans="2:23" s="139" customFormat="1" ht="18" customHeight="1">
      <c r="B11" s="285" t="s">
        <v>381</v>
      </c>
      <c r="C11" s="1131">
        <v>2</v>
      </c>
      <c r="D11" s="1131">
        <v>2</v>
      </c>
      <c r="E11" s="1131">
        <v>4</v>
      </c>
      <c r="F11" s="877">
        <v>6</v>
      </c>
      <c r="H11" s="285" t="s">
        <v>381</v>
      </c>
      <c r="I11" s="877">
        <v>2</v>
      </c>
      <c r="J11" s="877"/>
      <c r="K11" s="877">
        <v>2</v>
      </c>
      <c r="L11" s="483">
        <v>8</v>
      </c>
      <c r="N11" s="285" t="s">
        <v>381</v>
      </c>
      <c r="O11" s="1485">
        <v>6</v>
      </c>
      <c r="P11" s="1485"/>
      <c r="Q11" s="1485">
        <v>1</v>
      </c>
      <c r="R11" s="483">
        <f t="shared" ref="R11:R12" si="0">SUM(O11:Q11)</f>
        <v>7</v>
      </c>
    </row>
    <row r="12" spans="2:23" s="139" customFormat="1" ht="18" customHeight="1" thickBot="1">
      <c r="B12" s="92" t="s">
        <v>528</v>
      </c>
      <c r="C12" s="870"/>
      <c r="D12" s="871">
        <v>2</v>
      </c>
      <c r="E12" s="871"/>
      <c r="F12" s="871">
        <v>5</v>
      </c>
      <c r="H12" s="92" t="s">
        <v>528</v>
      </c>
      <c r="I12" s="871">
        <v>3</v>
      </c>
      <c r="J12" s="871">
        <v>6</v>
      </c>
      <c r="K12" s="871">
        <v>4</v>
      </c>
      <c r="L12" s="871">
        <v>2</v>
      </c>
      <c r="N12" s="92" t="s">
        <v>528</v>
      </c>
      <c r="O12" s="1486"/>
      <c r="P12" s="1486">
        <v>4</v>
      </c>
      <c r="Q12" s="1486">
        <v>5</v>
      </c>
      <c r="R12" s="871">
        <f t="shared" si="0"/>
        <v>9</v>
      </c>
      <c r="S12" s="733"/>
      <c r="T12" s="733"/>
      <c r="U12" s="733"/>
      <c r="V12" s="733"/>
      <c r="W12" s="734"/>
    </row>
    <row r="13" spans="2:23" s="139" customFormat="1" ht="18" customHeight="1" thickBot="1">
      <c r="C13" s="480"/>
      <c r="D13" s="480"/>
      <c r="E13" s="480"/>
      <c r="F13" s="480"/>
      <c r="I13" s="480"/>
      <c r="J13" s="480"/>
      <c r="K13" s="480"/>
      <c r="L13" s="480"/>
      <c r="O13" s="906"/>
      <c r="P13" s="906"/>
      <c r="Q13" s="906"/>
      <c r="R13" s="906"/>
      <c r="S13" s="733"/>
      <c r="T13" s="733"/>
      <c r="U13" s="733"/>
      <c r="V13" s="733"/>
      <c r="W13" s="734"/>
    </row>
    <row r="14" spans="2:23" s="139" customFormat="1" ht="18" customHeight="1" thickBot="1">
      <c r="B14" s="92" t="s">
        <v>47</v>
      </c>
      <c r="C14" s="549">
        <f>SUM(C10:C12)</f>
        <v>4</v>
      </c>
      <c r="D14" s="549">
        <f t="shared" ref="D14:F14" si="1">SUM(D10:D12)</f>
        <v>5</v>
      </c>
      <c r="E14" s="549">
        <f t="shared" si="1"/>
        <v>4</v>
      </c>
      <c r="F14" s="549">
        <f t="shared" si="1"/>
        <v>14</v>
      </c>
      <c r="H14" s="92" t="s">
        <v>47</v>
      </c>
      <c r="I14" s="1132">
        <f>SUM(I10:I12)</f>
        <v>5</v>
      </c>
      <c r="J14" s="1132">
        <f t="shared" ref="J14:L14" si="2">SUM(J10:J12)</f>
        <v>6</v>
      </c>
      <c r="K14" s="1132">
        <f t="shared" si="2"/>
        <v>7</v>
      </c>
      <c r="L14" s="1132">
        <f t="shared" si="2"/>
        <v>13</v>
      </c>
      <c r="N14" s="92" t="s">
        <v>47</v>
      </c>
      <c r="O14" s="550">
        <f>O12+O11+O10</f>
        <v>8</v>
      </c>
      <c r="P14" s="550">
        <f t="shared" ref="P14:Q14" si="3">P12+P11+P10</f>
        <v>4</v>
      </c>
      <c r="Q14" s="550">
        <f t="shared" si="3"/>
        <v>6</v>
      </c>
      <c r="R14" s="845">
        <f>SUM(R10:R12)</f>
        <v>18</v>
      </c>
    </row>
    <row r="15" spans="2:23" s="139" customFormat="1" ht="18" customHeight="1">
      <c r="B15"/>
      <c r="C15" s="1"/>
      <c r="D15" s="1"/>
      <c r="E15" s="1"/>
      <c r="F15" s="1"/>
      <c r="H15"/>
      <c r="I15" s="1"/>
      <c r="J15" s="1"/>
      <c r="K15" s="1"/>
      <c r="L15" s="1"/>
      <c r="N15"/>
      <c r="O15" s="284"/>
      <c r="P15" s="284"/>
      <c r="Q15" s="284"/>
      <c r="R15" s="284"/>
    </row>
    <row r="16" spans="2:23">
      <c r="C16" s="1"/>
      <c r="D16" s="1"/>
      <c r="E16" s="1"/>
      <c r="F16" s="1"/>
      <c r="I16" s="1"/>
      <c r="J16" s="1"/>
      <c r="K16" s="1"/>
      <c r="L16" s="1"/>
      <c r="O16" s="284"/>
      <c r="P16" s="284"/>
      <c r="Q16" s="284"/>
      <c r="R16" s="284"/>
    </row>
    <row r="17" spans="2:21">
      <c r="C17" s="1"/>
      <c r="D17" s="1"/>
      <c r="E17" s="1"/>
      <c r="F17" s="1"/>
      <c r="I17" s="1"/>
      <c r="J17" s="1"/>
      <c r="K17" s="1"/>
      <c r="L17" s="1"/>
      <c r="O17" s="284"/>
      <c r="P17" s="284"/>
      <c r="Q17" s="284"/>
      <c r="R17" s="284"/>
    </row>
    <row r="18" spans="2:21" ht="12.75">
      <c r="B18" s="412" t="s">
        <v>648</v>
      </c>
      <c r="C18" s="1"/>
      <c r="D18" s="1"/>
      <c r="E18" s="1"/>
      <c r="F18" s="1"/>
      <c r="H18" s="412"/>
      <c r="I18" s="1"/>
      <c r="J18" s="1"/>
      <c r="K18" s="1"/>
      <c r="L18" s="1"/>
      <c r="N18" s="412"/>
      <c r="O18" s="284"/>
      <c r="P18" s="284"/>
      <c r="Q18" s="284"/>
      <c r="R18" s="284"/>
    </row>
    <row r="19" spans="2:21">
      <c r="C19" s="1"/>
      <c r="D19" s="1"/>
      <c r="E19" s="1"/>
      <c r="F19" s="1"/>
      <c r="I19" s="1"/>
      <c r="J19" s="1"/>
      <c r="K19" s="1"/>
      <c r="L19" s="1"/>
      <c r="O19" s="284"/>
      <c r="P19" s="284"/>
      <c r="Q19" s="284"/>
      <c r="R19" s="284"/>
    </row>
    <row r="20" spans="2:21" ht="11.25" thickBot="1">
      <c r="B20" s="797"/>
      <c r="C20" s="1"/>
      <c r="D20" s="1"/>
      <c r="E20" s="1"/>
      <c r="F20" s="1"/>
      <c r="H20" s="797"/>
      <c r="I20" s="1"/>
      <c r="J20" s="1"/>
      <c r="K20" s="1"/>
      <c r="L20" s="1"/>
      <c r="O20" s="284"/>
      <c r="P20" s="284"/>
      <c r="Q20" s="284"/>
      <c r="R20" s="284"/>
    </row>
    <row r="21" spans="2:21" ht="11.25">
      <c r="B21" s="548">
        <v>2020</v>
      </c>
      <c r="C21" s="482" t="s">
        <v>353</v>
      </c>
      <c r="D21" s="482" t="s">
        <v>354</v>
      </c>
      <c r="E21" s="482" t="s">
        <v>355</v>
      </c>
      <c r="F21" s="482" t="s">
        <v>47</v>
      </c>
      <c r="G21" s="1161"/>
      <c r="H21" s="548">
        <v>2021</v>
      </c>
      <c r="I21" s="482" t="s">
        <v>353</v>
      </c>
      <c r="J21" s="482" t="s">
        <v>354</v>
      </c>
      <c r="K21" s="482" t="s">
        <v>355</v>
      </c>
      <c r="L21" s="482" t="s">
        <v>47</v>
      </c>
      <c r="N21" s="548">
        <v>2022</v>
      </c>
      <c r="O21" s="482" t="s">
        <v>353</v>
      </c>
      <c r="P21" s="482" t="s">
        <v>354</v>
      </c>
      <c r="Q21" s="482" t="s">
        <v>355</v>
      </c>
      <c r="R21" s="482" t="s">
        <v>47</v>
      </c>
    </row>
    <row r="22" spans="2:21" ht="18" customHeight="1">
      <c r="B22" s="285" t="s">
        <v>411</v>
      </c>
      <c r="C22" s="483">
        <v>1</v>
      </c>
      <c r="D22" s="483">
        <v>1</v>
      </c>
      <c r="E22" s="483">
        <v>2</v>
      </c>
      <c r="F22" s="483">
        <f t="shared" ref="F22:F23" si="4">SUM(C22:E22)</f>
        <v>4</v>
      </c>
      <c r="G22" s="1161"/>
      <c r="H22" s="285" t="s">
        <v>411</v>
      </c>
      <c r="I22" s="483">
        <v>1</v>
      </c>
      <c r="J22" s="483"/>
      <c r="K22" s="483">
        <v>1</v>
      </c>
      <c r="L22" s="483">
        <f t="shared" ref="L22:L23" si="5">SUM(I22:K22)</f>
        <v>2</v>
      </c>
      <c r="N22" s="285" t="s">
        <v>411</v>
      </c>
      <c r="O22" s="1315">
        <v>6</v>
      </c>
      <c r="P22" s="1315">
        <v>2</v>
      </c>
      <c r="Q22" s="1315">
        <v>3</v>
      </c>
      <c r="R22" s="483">
        <f t="shared" ref="R22:R23" si="6">SUM(O22:Q22)</f>
        <v>11</v>
      </c>
    </row>
    <row r="23" spans="2:21" ht="18" customHeight="1">
      <c r="B23" s="92" t="s">
        <v>410</v>
      </c>
      <c r="C23" s="551"/>
      <c r="D23" s="551"/>
      <c r="E23" s="484">
        <v>1</v>
      </c>
      <c r="F23" s="484">
        <f t="shared" si="4"/>
        <v>1</v>
      </c>
      <c r="G23" s="1161"/>
      <c r="H23" s="92" t="s">
        <v>410</v>
      </c>
      <c r="I23" s="551">
        <v>2</v>
      </c>
      <c r="J23" s="551">
        <v>2</v>
      </c>
      <c r="K23" s="484">
        <v>1</v>
      </c>
      <c r="L23" s="484">
        <f t="shared" si="5"/>
        <v>5</v>
      </c>
      <c r="N23" s="92" t="s">
        <v>410</v>
      </c>
      <c r="O23" s="1316">
        <v>2</v>
      </c>
      <c r="P23" s="1316"/>
      <c r="Q23" s="1316">
        <v>2</v>
      </c>
      <c r="R23" s="484">
        <f t="shared" si="6"/>
        <v>4</v>
      </c>
    </row>
    <row r="24" spans="2:21" s="139" customFormat="1" ht="18" customHeight="1">
      <c r="B24" s="285" t="s">
        <v>381</v>
      </c>
      <c r="C24" s="483">
        <v>2</v>
      </c>
      <c r="D24" s="483">
        <v>2</v>
      </c>
      <c r="E24" s="483">
        <v>1</v>
      </c>
      <c r="F24" s="483">
        <f>SUM(C24:E24)</f>
        <v>5</v>
      </c>
      <c r="G24" s="1162"/>
      <c r="H24" s="285" t="s">
        <v>381</v>
      </c>
      <c r="I24" s="483"/>
      <c r="J24" s="483">
        <v>4</v>
      </c>
      <c r="K24" s="483"/>
      <c r="L24" s="483">
        <f>SUM(I24:K24)</f>
        <v>4</v>
      </c>
      <c r="N24" s="285" t="s">
        <v>381</v>
      </c>
      <c r="O24" s="1315">
        <v>6</v>
      </c>
      <c r="P24" s="1315">
        <v>1</v>
      </c>
      <c r="Q24" s="1315"/>
      <c r="R24" s="483">
        <f>SUM(O24:Q24)</f>
        <v>7</v>
      </c>
      <c r="S24"/>
      <c r="T24"/>
      <c r="U24"/>
    </row>
    <row r="25" spans="2:21" ht="18" customHeight="1">
      <c r="B25" s="92" t="s">
        <v>375</v>
      </c>
      <c r="C25" s="551">
        <v>3</v>
      </c>
      <c r="D25" s="551">
        <v>2</v>
      </c>
      <c r="E25" s="484">
        <v>7</v>
      </c>
      <c r="F25" s="484">
        <f t="shared" ref="F25:F28" si="7">SUM(C25:E25)</f>
        <v>12</v>
      </c>
      <c r="G25" s="1161"/>
      <c r="H25" s="92" t="s">
        <v>375</v>
      </c>
      <c r="I25" s="551">
        <v>3</v>
      </c>
      <c r="J25" s="551"/>
      <c r="K25" s="484">
        <v>6</v>
      </c>
      <c r="L25" s="484">
        <f t="shared" ref="L25:L28" si="8">SUM(I25:K25)</f>
        <v>9</v>
      </c>
      <c r="N25" s="92" t="s">
        <v>375</v>
      </c>
      <c r="O25" s="1316">
        <v>3</v>
      </c>
      <c r="P25" s="1316">
        <v>5</v>
      </c>
      <c r="Q25" s="1316">
        <v>2</v>
      </c>
      <c r="R25" s="484">
        <f t="shared" ref="R25:R30" si="9">SUM(O25:Q25)</f>
        <v>10</v>
      </c>
    </row>
    <row r="26" spans="2:21" ht="18" customHeight="1">
      <c r="B26" s="285" t="s">
        <v>528</v>
      </c>
      <c r="C26" s="483">
        <v>1</v>
      </c>
      <c r="D26" s="483"/>
      <c r="E26" s="483"/>
      <c r="F26" s="483">
        <f t="shared" si="7"/>
        <v>1</v>
      </c>
      <c r="G26" s="1161"/>
      <c r="H26" s="285" t="s">
        <v>528</v>
      </c>
      <c r="I26" s="483"/>
      <c r="J26" s="483"/>
      <c r="K26" s="483"/>
      <c r="L26" s="483"/>
      <c r="N26" s="285" t="s">
        <v>528</v>
      </c>
      <c r="O26" s="1315"/>
      <c r="P26" s="1315"/>
      <c r="Q26" s="1315">
        <v>1</v>
      </c>
      <c r="R26" s="483">
        <f t="shared" si="9"/>
        <v>1</v>
      </c>
    </row>
    <row r="27" spans="2:21" ht="18" customHeight="1">
      <c r="B27" s="92" t="s">
        <v>731</v>
      </c>
      <c r="C27" s="551">
        <v>2</v>
      </c>
      <c r="D27" s="551">
        <v>2</v>
      </c>
      <c r="E27" s="484"/>
      <c r="F27" s="484">
        <f t="shared" si="7"/>
        <v>4</v>
      </c>
      <c r="G27" s="1161"/>
      <c r="H27" s="92" t="s">
        <v>731</v>
      </c>
      <c r="I27" s="551"/>
      <c r="J27" s="551"/>
      <c r="K27" s="484"/>
      <c r="L27" s="484"/>
      <c r="N27" s="92" t="s">
        <v>731</v>
      </c>
      <c r="O27" s="1316"/>
      <c r="P27" s="1316"/>
      <c r="Q27" s="1316"/>
      <c r="R27" s="484">
        <f t="shared" si="9"/>
        <v>0</v>
      </c>
    </row>
    <row r="28" spans="2:21" ht="18" customHeight="1">
      <c r="B28" s="285" t="s">
        <v>821</v>
      </c>
      <c r="C28" s="483">
        <v>1</v>
      </c>
      <c r="D28" s="483">
        <v>3</v>
      </c>
      <c r="E28" s="483">
        <v>1</v>
      </c>
      <c r="F28" s="483">
        <f t="shared" si="7"/>
        <v>5</v>
      </c>
      <c r="G28" s="1161"/>
      <c r="H28" s="285" t="s">
        <v>821</v>
      </c>
      <c r="I28" s="483">
        <v>1</v>
      </c>
      <c r="J28" s="483">
        <v>1</v>
      </c>
      <c r="K28" s="483">
        <v>1</v>
      </c>
      <c r="L28" s="483">
        <f t="shared" si="8"/>
        <v>3</v>
      </c>
      <c r="N28" s="285" t="s">
        <v>821</v>
      </c>
      <c r="O28" s="1315"/>
      <c r="P28" s="1315"/>
      <c r="Q28" s="1315"/>
      <c r="R28" s="483">
        <f t="shared" si="9"/>
        <v>0</v>
      </c>
    </row>
    <row r="29" spans="2:21" s="1161" customFormat="1" ht="18" customHeight="1" thickBot="1">
      <c r="B29" s="92" t="s">
        <v>820</v>
      </c>
      <c r="C29" s="1335"/>
      <c r="D29" s="1335">
        <v>1</v>
      </c>
      <c r="E29" s="1335">
        <v>1</v>
      </c>
      <c r="F29" s="1335">
        <f t="shared" ref="F29" si="10">SUM(C29:E29)</f>
        <v>2</v>
      </c>
      <c r="G29" s="1421"/>
      <c r="H29" s="92" t="s">
        <v>820</v>
      </c>
      <c r="I29" s="1335"/>
      <c r="J29" s="1335"/>
      <c r="K29" s="1335"/>
      <c r="L29" s="1335"/>
      <c r="N29" s="92" t="s">
        <v>1009</v>
      </c>
      <c r="O29" s="1316">
        <v>2</v>
      </c>
      <c r="P29" s="1316"/>
      <c r="Q29" s="1316"/>
      <c r="R29" s="484">
        <f t="shared" si="9"/>
        <v>2</v>
      </c>
    </row>
    <row r="30" spans="2:21" ht="18" customHeight="1" thickBot="1">
      <c r="M30" s="1421"/>
      <c r="N30" s="1419" t="s">
        <v>820</v>
      </c>
      <c r="O30" s="1422">
        <v>1</v>
      </c>
      <c r="P30" s="1422"/>
      <c r="Q30" s="1422"/>
      <c r="R30" s="1420">
        <f t="shared" si="9"/>
        <v>1</v>
      </c>
    </row>
    <row r="31" spans="2:21" s="178" customFormat="1" ht="18" customHeight="1" thickBot="1">
      <c r="B31"/>
      <c r="C31"/>
      <c r="D31"/>
      <c r="E31"/>
      <c r="F31"/>
      <c r="H31"/>
      <c r="I31"/>
      <c r="J31"/>
      <c r="K31"/>
      <c r="L31"/>
      <c r="N31"/>
      <c r="O31"/>
      <c r="P31"/>
      <c r="Q31"/>
      <c r="R31"/>
      <c r="S31"/>
      <c r="T31"/>
      <c r="U31"/>
    </row>
    <row r="32" spans="2:21" ht="18" customHeight="1" thickBot="1">
      <c r="B32" s="92" t="s">
        <v>47</v>
      </c>
      <c r="C32" s="550">
        <f>SUM(C22:C29)</f>
        <v>10</v>
      </c>
      <c r="D32" s="550">
        <f>SUM(D22:D29)</f>
        <v>11</v>
      </c>
      <c r="E32" s="550">
        <f>SUM(E22:E29)</f>
        <v>13</v>
      </c>
      <c r="F32" s="845">
        <f t="shared" ref="F32" si="11">SUM(F22:F26)</f>
        <v>23</v>
      </c>
      <c r="H32" s="92" t="s">
        <v>47</v>
      </c>
      <c r="I32" s="550">
        <f>SUM(I22:I30)</f>
        <v>7</v>
      </c>
      <c r="J32" s="550">
        <f t="shared" ref="J32:L32" si="12">SUM(J22:J30)</f>
        <v>7</v>
      </c>
      <c r="K32" s="550">
        <f t="shared" si="12"/>
        <v>9</v>
      </c>
      <c r="L32" s="845">
        <f t="shared" si="12"/>
        <v>23</v>
      </c>
      <c r="N32" s="92" t="s">
        <v>47</v>
      </c>
      <c r="O32" s="550">
        <f>SUM(O22:O30)</f>
        <v>20</v>
      </c>
      <c r="P32" s="550">
        <f t="shared" ref="P32:R32" si="13">SUM(P22:P30)</f>
        <v>8</v>
      </c>
      <c r="Q32" s="550">
        <f t="shared" si="13"/>
        <v>8</v>
      </c>
      <c r="R32" s="845">
        <f t="shared" si="13"/>
        <v>36</v>
      </c>
    </row>
    <row r="33" spans="1:13" ht="18" customHeight="1"/>
    <row r="36" spans="1:13">
      <c r="A36" s="154"/>
      <c r="B36" s="154"/>
      <c r="C36" s="414"/>
      <c r="D36" s="414"/>
      <c r="E36" s="414"/>
      <c r="F36" s="414"/>
      <c r="G36" s="154"/>
      <c r="H36" s="154"/>
      <c r="I36" s="414"/>
      <c r="J36" s="414"/>
      <c r="K36" s="414"/>
      <c r="L36" s="414"/>
      <c r="M36" s="154"/>
    </row>
  </sheetData>
  <pageMargins left="0.11811023622047245" right="0.11811023622047245" top="0.35433070866141736" bottom="0.35433070866141736" header="0.31496062992125984" footer="0.31496062992125984"/>
  <pageSetup paperSize="9" scale="99" fitToWidth="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R113"/>
  <sheetViews>
    <sheetView showGridLines="0" zoomScaleNormal="100" zoomScaleSheetLayoutView="120" workbookViewId="0">
      <selection activeCell="A2" sqref="A2:K2"/>
    </sheetView>
  </sheetViews>
  <sheetFormatPr baseColWidth="10" defaultRowHeight="10.5"/>
  <cols>
    <col min="2" max="2" width="13.33203125" customWidth="1"/>
    <col min="3" max="3" width="8.6640625" customWidth="1"/>
    <col min="4" max="4" width="8.33203125" customWidth="1"/>
    <col min="5" max="5" width="8.6640625" style="14" bestFit="1" customWidth="1"/>
    <col min="8" max="8" width="6.5" customWidth="1"/>
    <col min="10" max="10" width="11.5" customWidth="1"/>
    <col min="12" max="12" width="8" customWidth="1"/>
    <col min="13" max="14" width="7.6640625" bestFit="1" customWidth="1"/>
    <col min="18" max="18" width="14.1640625" customWidth="1"/>
  </cols>
  <sheetData>
    <row r="1" spans="1:18" ht="22.5" customHeight="1">
      <c r="A1" s="179" t="s">
        <v>649</v>
      </c>
      <c r="B1" s="132"/>
      <c r="C1" s="132"/>
      <c r="D1" s="132"/>
      <c r="E1" s="132"/>
      <c r="F1" s="132"/>
      <c r="G1" s="132"/>
      <c r="H1" s="132"/>
      <c r="I1" s="132"/>
      <c r="J1" s="132"/>
      <c r="K1" s="132"/>
      <c r="L1" s="132"/>
      <c r="M1" s="132"/>
      <c r="N1" s="132"/>
      <c r="O1" s="132"/>
      <c r="P1" s="132"/>
      <c r="Q1" s="132"/>
      <c r="R1" s="132"/>
    </row>
    <row r="2" spans="1:18" ht="21.75" customHeight="1">
      <c r="A2" s="1165" t="s">
        <v>971</v>
      </c>
      <c r="B2" s="132"/>
      <c r="C2" s="132"/>
      <c r="D2" s="132"/>
      <c r="E2" s="132"/>
      <c r="F2" s="132"/>
      <c r="G2" s="132"/>
      <c r="H2" s="132"/>
      <c r="I2" s="132"/>
      <c r="J2" s="132"/>
      <c r="K2" s="132"/>
      <c r="L2" s="132"/>
      <c r="M2" s="132"/>
      <c r="N2" s="132"/>
      <c r="O2" s="132"/>
      <c r="P2" s="185"/>
      <c r="Q2" s="185"/>
      <c r="R2" s="185"/>
    </row>
    <row r="3" spans="1:18" ht="26.25">
      <c r="A3" s="874" t="s">
        <v>1019</v>
      </c>
      <c r="B3" s="32"/>
      <c r="C3" s="32"/>
      <c r="D3" s="32"/>
      <c r="E3" s="32"/>
      <c r="F3" s="32"/>
      <c r="G3" s="32"/>
      <c r="H3" s="32"/>
      <c r="I3" s="32"/>
      <c r="J3" s="32"/>
      <c r="K3" s="32"/>
      <c r="L3" s="32"/>
      <c r="M3" s="32"/>
      <c r="N3" s="32"/>
      <c r="O3" s="32"/>
    </row>
    <row r="4" spans="1:18" ht="14.25" customHeight="1"/>
    <row r="5" spans="1:18" ht="24.75" customHeight="1">
      <c r="C5" t="s">
        <v>87</v>
      </c>
      <c r="D5" t="s">
        <v>469</v>
      </c>
      <c r="E5" s="316"/>
      <c r="F5" s="316"/>
      <c r="G5" s="316"/>
      <c r="H5" s="316"/>
      <c r="I5" s="316"/>
      <c r="J5" s="316"/>
      <c r="K5" s="316"/>
    </row>
    <row r="6" spans="1:18" ht="14.25" customHeight="1">
      <c r="B6" t="s">
        <v>963</v>
      </c>
      <c r="H6" s="56"/>
      <c r="L6" s="414"/>
    </row>
    <row r="7" spans="1:18" ht="14.25" customHeight="1">
      <c r="B7" t="s">
        <v>561</v>
      </c>
      <c r="C7">
        <v>-31</v>
      </c>
      <c r="D7">
        <v>28</v>
      </c>
      <c r="H7" s="56"/>
      <c r="I7" s="154"/>
      <c r="J7" s="414"/>
      <c r="L7" s="414"/>
    </row>
    <row r="8" spans="1:18" ht="14.25" customHeight="1">
      <c r="B8" t="s">
        <v>562</v>
      </c>
      <c r="C8">
        <v>-93</v>
      </c>
      <c r="D8">
        <v>89</v>
      </c>
      <c r="H8" s="56"/>
      <c r="I8" s="154"/>
      <c r="J8" s="414"/>
      <c r="L8" s="414"/>
    </row>
    <row r="9" spans="1:18" ht="14.25" customHeight="1">
      <c r="B9" t="s">
        <v>563</v>
      </c>
      <c r="C9">
        <v>-77</v>
      </c>
      <c r="D9">
        <v>91</v>
      </c>
      <c r="H9" s="56"/>
      <c r="I9" s="154"/>
      <c r="J9" s="414"/>
      <c r="L9" s="414"/>
    </row>
    <row r="10" spans="1:18" ht="14.25" customHeight="1">
      <c r="B10" t="s">
        <v>564</v>
      </c>
      <c r="C10">
        <v>-109</v>
      </c>
      <c r="D10">
        <v>72</v>
      </c>
      <c r="H10" s="56"/>
      <c r="I10" s="154"/>
      <c r="J10" s="414"/>
      <c r="L10" s="414"/>
    </row>
    <row r="11" spans="1:18" ht="14.25" customHeight="1">
      <c r="B11" t="s">
        <v>565</v>
      </c>
      <c r="C11">
        <v>-121</v>
      </c>
      <c r="D11">
        <v>96</v>
      </c>
      <c r="H11" s="56"/>
      <c r="I11" s="154"/>
      <c r="J11" s="414"/>
      <c r="L11" s="414"/>
    </row>
    <row r="12" spans="1:18" ht="14.25" customHeight="1">
      <c r="B12" t="s">
        <v>566</v>
      </c>
      <c r="C12">
        <v>-118</v>
      </c>
      <c r="D12">
        <v>103</v>
      </c>
      <c r="H12" s="56"/>
      <c r="I12" s="154"/>
      <c r="J12" s="414"/>
      <c r="L12" s="414"/>
    </row>
    <row r="13" spans="1:18" ht="14.25" customHeight="1">
      <c r="B13" t="s">
        <v>567</v>
      </c>
      <c r="C13">
        <v>-126</v>
      </c>
      <c r="D13">
        <v>112</v>
      </c>
      <c r="H13" s="56"/>
      <c r="I13" s="154"/>
      <c r="J13" s="414"/>
      <c r="L13" s="414"/>
    </row>
    <row r="14" spans="1:18" ht="14.25" customHeight="1">
      <c r="B14" t="s">
        <v>568</v>
      </c>
      <c r="C14">
        <v>-120</v>
      </c>
      <c r="D14">
        <v>112</v>
      </c>
      <c r="H14" s="56"/>
      <c r="I14" s="154"/>
      <c r="J14" s="414"/>
      <c r="L14" s="414"/>
    </row>
    <row r="15" spans="1:18" ht="14.25" customHeight="1">
      <c r="B15" t="s">
        <v>569</v>
      </c>
      <c r="C15">
        <v>-59</v>
      </c>
      <c r="D15">
        <v>74</v>
      </c>
      <c r="H15" s="56"/>
      <c r="I15" s="154"/>
      <c r="J15" s="414"/>
      <c r="L15" s="414"/>
    </row>
    <row r="16" spans="1:18" ht="14.25" customHeight="1">
      <c r="B16" t="s">
        <v>964</v>
      </c>
      <c r="C16">
        <v>-4</v>
      </c>
      <c r="D16">
        <v>16</v>
      </c>
      <c r="H16" s="56"/>
      <c r="I16" s="154"/>
      <c r="J16" s="414"/>
    </row>
    <row r="17" spans="1:13" ht="14.25" customHeight="1">
      <c r="E17" s="304"/>
      <c r="F17" s="565"/>
      <c r="G17" s="565"/>
      <c r="H17" s="56"/>
      <c r="I17" s="14"/>
    </row>
    <row r="18" spans="1:13" ht="14.25" customHeight="1">
      <c r="E18" s="304"/>
      <c r="F18" s="565"/>
      <c r="G18" s="565"/>
      <c r="I18" s="14"/>
    </row>
    <row r="19" spans="1:13" ht="14.25" customHeight="1">
      <c r="E19" s="304"/>
      <c r="F19" s="565"/>
      <c r="G19" s="565"/>
      <c r="I19" s="14"/>
    </row>
    <row r="20" spans="1:13" ht="14.25" customHeight="1">
      <c r="A20" s="316" t="s">
        <v>1020</v>
      </c>
      <c r="E20" s="946"/>
      <c r="F20" s="946"/>
      <c r="G20" s="946"/>
      <c r="I20" s="14"/>
      <c r="J20" s="316" t="s">
        <v>1021</v>
      </c>
    </row>
    <row r="21" spans="1:13" ht="14.25" customHeight="1">
      <c r="C21" s="14"/>
      <c r="E21"/>
    </row>
    <row r="22" spans="1:13" ht="14.25" customHeight="1">
      <c r="L22" t="s">
        <v>87</v>
      </c>
      <c r="M22" t="s">
        <v>469</v>
      </c>
    </row>
    <row r="23" spans="1:13" ht="9.75" customHeight="1">
      <c r="C23" s="14"/>
      <c r="D23" s="649" t="s">
        <v>87</v>
      </c>
      <c r="E23" s="649" t="s">
        <v>469</v>
      </c>
      <c r="K23" t="s">
        <v>963</v>
      </c>
    </row>
    <row r="24" spans="1:13" ht="9.75" customHeight="1">
      <c r="C24" s="625" t="s">
        <v>561</v>
      </c>
      <c r="D24" s="626">
        <v>-2</v>
      </c>
      <c r="E24" s="414">
        <v>0</v>
      </c>
      <c r="K24" t="s">
        <v>561</v>
      </c>
      <c r="L24">
        <v>-29</v>
      </c>
      <c r="M24">
        <v>28</v>
      </c>
    </row>
    <row r="25" spans="1:13" ht="9.75" customHeight="1">
      <c r="C25" s="625" t="s">
        <v>562</v>
      </c>
      <c r="D25" s="626">
        <v>-3</v>
      </c>
      <c r="E25" s="414">
        <v>2</v>
      </c>
      <c r="K25" t="s">
        <v>562</v>
      </c>
      <c r="L25">
        <v>-90</v>
      </c>
      <c r="M25">
        <v>87</v>
      </c>
    </row>
    <row r="26" spans="1:13" ht="9.75" customHeight="1">
      <c r="C26" s="625" t="s">
        <v>563</v>
      </c>
      <c r="D26" s="626">
        <v>-24</v>
      </c>
      <c r="E26" s="414">
        <v>23</v>
      </c>
      <c r="K26" t="s">
        <v>563</v>
      </c>
      <c r="L26">
        <v>-53</v>
      </c>
      <c r="M26">
        <v>68</v>
      </c>
    </row>
    <row r="27" spans="1:13" ht="9.75" customHeight="1">
      <c r="C27" s="625" t="s">
        <v>564</v>
      </c>
      <c r="D27" s="626">
        <v>-58</v>
      </c>
      <c r="E27" s="414">
        <v>48</v>
      </c>
      <c r="K27" t="s">
        <v>564</v>
      </c>
      <c r="L27">
        <v>-51</v>
      </c>
      <c r="M27">
        <v>24</v>
      </c>
    </row>
    <row r="28" spans="1:13" ht="9.75" customHeight="1">
      <c r="C28" s="625" t="s">
        <v>565</v>
      </c>
      <c r="D28" s="626">
        <v>-82</v>
      </c>
      <c r="E28" s="414">
        <v>71</v>
      </c>
      <c r="K28" t="s">
        <v>565</v>
      </c>
      <c r="L28">
        <v>-39</v>
      </c>
      <c r="M28">
        <v>25</v>
      </c>
    </row>
    <row r="29" spans="1:13" ht="9.75" customHeight="1">
      <c r="C29" s="625" t="s">
        <v>566</v>
      </c>
      <c r="D29" s="626">
        <v>-96</v>
      </c>
      <c r="E29" s="414">
        <v>88</v>
      </c>
      <c r="K29" t="s">
        <v>566</v>
      </c>
      <c r="L29">
        <v>-22</v>
      </c>
      <c r="M29">
        <v>15</v>
      </c>
    </row>
    <row r="30" spans="1:13" ht="9.75" customHeight="1">
      <c r="C30" s="625" t="s">
        <v>567</v>
      </c>
      <c r="D30" s="626">
        <v>-108</v>
      </c>
      <c r="E30" s="414">
        <v>104</v>
      </c>
      <c r="K30" t="s">
        <v>567</v>
      </c>
      <c r="L30">
        <v>-18</v>
      </c>
      <c r="M30">
        <v>8</v>
      </c>
    </row>
    <row r="31" spans="1:13" ht="9.75" customHeight="1">
      <c r="C31" s="625" t="s">
        <v>568</v>
      </c>
      <c r="D31" s="626">
        <v>-103</v>
      </c>
      <c r="E31" s="414">
        <v>98</v>
      </c>
      <c r="K31" t="s">
        <v>568</v>
      </c>
      <c r="L31">
        <v>-17</v>
      </c>
      <c r="M31">
        <v>14</v>
      </c>
    </row>
    <row r="32" spans="1:13" ht="9.75" customHeight="1">
      <c r="C32" s="625" t="s">
        <v>569</v>
      </c>
      <c r="D32" s="626">
        <v>-52</v>
      </c>
      <c r="E32" s="414">
        <v>71</v>
      </c>
      <c r="K32" t="s">
        <v>569</v>
      </c>
      <c r="L32">
        <v>-7</v>
      </c>
      <c r="M32">
        <v>3</v>
      </c>
    </row>
    <row r="33" spans="2:13" ht="9.75" customHeight="1">
      <c r="C33" s="625" t="s">
        <v>964</v>
      </c>
      <c r="D33" s="626">
        <v>-4</v>
      </c>
      <c r="E33" s="414">
        <v>16</v>
      </c>
      <c r="K33" t="s">
        <v>964</v>
      </c>
      <c r="L33">
        <v>0</v>
      </c>
      <c r="M33">
        <v>0</v>
      </c>
    </row>
    <row r="34" spans="2:13" ht="14.25" customHeight="1"/>
    <row r="35" spans="2:13" ht="14.25" customHeight="1"/>
    <row r="36" spans="2:13" s="317" customFormat="1" ht="14.25" customHeight="1"/>
    <row r="37" spans="2:13" s="317" customFormat="1" ht="14.25" customHeight="1"/>
    <row r="38" spans="2:13" s="317" customFormat="1" ht="14.25" customHeight="1">
      <c r="I38" s="319"/>
    </row>
    <row r="39" spans="2:13" s="317" customFormat="1" ht="14.25" customHeight="1">
      <c r="I39" s="319"/>
    </row>
    <row r="40" spans="2:13" s="317" customFormat="1" ht="14.25" customHeight="1">
      <c r="I40" s="319"/>
    </row>
    <row r="41" spans="2:13" s="317" customFormat="1" ht="14.25" customHeight="1">
      <c r="I41" s="319"/>
    </row>
    <row r="42" spans="2:13" s="317" customFormat="1" ht="14.25" customHeight="1">
      <c r="I42" s="319"/>
    </row>
    <row r="43" spans="2:13" s="317" customFormat="1" ht="14.25" customHeight="1">
      <c r="I43" s="319"/>
    </row>
    <row r="44" spans="2:13" s="317" customFormat="1" ht="14.25" customHeight="1">
      <c r="B44"/>
      <c r="C44"/>
      <c r="D44"/>
      <c r="E44" s="14"/>
      <c r="F44"/>
      <c r="G44"/>
      <c r="I44" s="319"/>
    </row>
    <row r="45" spans="2:13" ht="14.25" customHeight="1">
      <c r="I45" s="14"/>
    </row>
    <row r="46" spans="2:13" ht="14.25" customHeight="1">
      <c r="I46" s="14"/>
    </row>
    <row r="47" spans="2:13" ht="14.25" customHeight="1">
      <c r="I47" s="14"/>
    </row>
    <row r="48" spans="2:13" ht="14.25" customHeight="1">
      <c r="I48" s="14"/>
    </row>
    <row r="49" spans="1:9" ht="14.25" customHeight="1">
      <c r="A49" s="315"/>
      <c r="I49" s="14"/>
    </row>
    <row r="50" spans="1:9" ht="14.25" customHeight="1">
      <c r="I50" s="14"/>
    </row>
    <row r="51" spans="1:9" ht="14.25" customHeight="1">
      <c r="I51" s="14"/>
    </row>
    <row r="52" spans="1:9" ht="14.25" customHeight="1"/>
    <row r="53" spans="1:9" ht="14.25" customHeight="1">
      <c r="I53" s="14"/>
    </row>
    <row r="54" spans="1:9" ht="14.25" customHeight="1">
      <c r="I54" s="14"/>
    </row>
    <row r="55" spans="1:9" ht="14.25" customHeight="1"/>
    <row r="56" spans="1:9" ht="14.25" customHeight="1"/>
    <row r="57" spans="1:9" ht="14.25" customHeight="1"/>
    <row r="58" spans="1:9" ht="14.25" customHeight="1"/>
    <row r="59" spans="1:9" ht="14.25" customHeight="1"/>
    <row r="60" spans="1:9" ht="14.25" customHeight="1"/>
    <row r="61" spans="1:9" ht="14.25" customHeight="1"/>
    <row r="62" spans="1:9" ht="14.25" customHeight="1"/>
    <row r="63" spans="1:9" ht="14.25" customHeight="1"/>
    <row r="64" spans="1:9" ht="14.25" customHeight="1"/>
    <row r="65" spans="1:1" ht="14.25" customHeight="1">
      <c r="A65" s="259"/>
    </row>
    <row r="66" spans="1:1" ht="14.25" customHeight="1"/>
    <row r="67" spans="1:1" ht="14.25" customHeight="1"/>
    <row r="68" spans="1:1" ht="14.25" customHeight="1"/>
    <row r="69" spans="1:1" ht="14.25" customHeight="1"/>
    <row r="70" spans="1:1" ht="14.25" customHeight="1"/>
    <row r="71" spans="1:1" ht="14.25" customHeight="1"/>
    <row r="72" spans="1:1" ht="14.25" customHeight="1"/>
    <row r="73" spans="1:1" ht="14.25" customHeight="1"/>
    <row r="74" spans="1:1" ht="14.25" customHeight="1"/>
    <row r="75" spans="1:1" ht="14.25" customHeight="1"/>
    <row r="76" spans="1:1" ht="14.25" customHeight="1"/>
    <row r="77" spans="1:1" ht="14.25" customHeight="1"/>
    <row r="78" spans="1:1" ht="14.25" customHeight="1"/>
    <row r="79" spans="1:1" ht="14.25" customHeight="1"/>
    <row r="80" spans="1:1"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sheetData>
  <pageMargins left="0.11811023622047245" right="0.11811023622047245" top="0.35433070866141736" bottom="0.35433070866141736"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O67"/>
  <sheetViews>
    <sheetView showGridLines="0" zoomScaleNormal="100" workbookViewId="0">
      <selection activeCell="R56" sqref="R56"/>
    </sheetView>
  </sheetViews>
  <sheetFormatPr baseColWidth="10" defaultRowHeight="10.5"/>
  <cols>
    <col min="11" max="11" width="9.33203125" bestFit="1" customWidth="1"/>
    <col min="12" max="12" width="13.6640625" customWidth="1"/>
    <col min="13" max="13" width="10.33203125" customWidth="1"/>
    <col min="16" max="16" width="14.5" customWidth="1"/>
  </cols>
  <sheetData>
    <row r="1" spans="1:7" ht="18.75">
      <c r="A1" s="228" t="s">
        <v>940</v>
      </c>
      <c r="B1" s="948"/>
      <c r="C1" s="948"/>
      <c r="D1" s="948"/>
      <c r="E1" s="950"/>
      <c r="F1" s="951"/>
      <c r="G1" s="951"/>
    </row>
    <row r="2" spans="1:7">
      <c r="E2" s="14"/>
    </row>
    <row r="3" spans="1:7">
      <c r="E3" s="318" t="s">
        <v>308</v>
      </c>
      <c r="F3" s="317"/>
      <c r="G3" s="317"/>
    </row>
    <row r="4" spans="1:7">
      <c r="F4" t="s">
        <v>87</v>
      </c>
      <c r="G4" t="s">
        <v>469</v>
      </c>
    </row>
    <row r="5" spans="1:7">
      <c r="E5" t="s">
        <v>963</v>
      </c>
    </row>
    <row r="6" spans="1:7">
      <c r="E6" t="s">
        <v>562</v>
      </c>
      <c r="F6" s="949">
        <v>0</v>
      </c>
      <c r="G6" s="949">
        <v>1</v>
      </c>
    </row>
    <row r="7" spans="1:7">
      <c r="E7" t="s">
        <v>563</v>
      </c>
      <c r="F7" s="949">
        <v>-15</v>
      </c>
      <c r="G7" s="949">
        <v>16</v>
      </c>
    </row>
    <row r="8" spans="1:7">
      <c r="E8" t="s">
        <v>564</v>
      </c>
      <c r="F8" s="949">
        <v>-28</v>
      </c>
      <c r="G8" s="949">
        <v>39</v>
      </c>
    </row>
    <row r="9" spans="1:7">
      <c r="E9" t="s">
        <v>565</v>
      </c>
      <c r="F9" s="949">
        <v>-39</v>
      </c>
      <c r="G9" s="949">
        <v>62</v>
      </c>
    </row>
    <row r="10" spans="1:7">
      <c r="E10" t="s">
        <v>566</v>
      </c>
      <c r="F10" s="949">
        <v>-51</v>
      </c>
      <c r="G10" s="949">
        <v>66</v>
      </c>
    </row>
    <row r="11" spans="1:7">
      <c r="E11" t="s">
        <v>567</v>
      </c>
      <c r="F11" s="949">
        <v>-46</v>
      </c>
      <c r="G11" s="949">
        <v>78</v>
      </c>
    </row>
    <row r="12" spans="1:7">
      <c r="E12" t="s">
        <v>568</v>
      </c>
      <c r="F12" s="949">
        <v>-48</v>
      </c>
      <c r="G12" s="949">
        <v>69</v>
      </c>
    </row>
    <row r="13" spans="1:7">
      <c r="E13" t="s">
        <v>569</v>
      </c>
      <c r="F13" s="949">
        <v>-19</v>
      </c>
      <c r="G13" s="949">
        <v>57</v>
      </c>
    </row>
    <row r="14" spans="1:7">
      <c r="E14" t="s">
        <v>964</v>
      </c>
      <c r="F14" s="949">
        <v>-2</v>
      </c>
      <c r="G14" s="949">
        <v>21</v>
      </c>
    </row>
    <row r="15" spans="1:7">
      <c r="B15" s="317"/>
      <c r="C15" s="317"/>
      <c r="D15" s="317"/>
      <c r="E15" s="317"/>
      <c r="F15" s="317"/>
      <c r="G15" s="317"/>
    </row>
    <row r="25" spans="1:15">
      <c r="J25" s="951"/>
    </row>
    <row r="27" spans="1:15" ht="12.75">
      <c r="A27" s="948" t="s">
        <v>769</v>
      </c>
      <c r="B27" s="951"/>
      <c r="C27" s="951"/>
      <c r="D27" s="951"/>
      <c r="E27" s="951"/>
      <c r="F27" s="316" t="s">
        <v>770</v>
      </c>
      <c r="K27" s="948" t="s">
        <v>771</v>
      </c>
      <c r="L27" s="951"/>
      <c r="M27" s="951"/>
      <c r="N27" s="951"/>
      <c r="O27" s="951"/>
    </row>
    <row r="28" spans="1:15" ht="12.75">
      <c r="A28" s="948" t="s">
        <v>1022</v>
      </c>
      <c r="B28" s="951"/>
      <c r="C28" s="951"/>
      <c r="D28" s="951"/>
      <c r="E28" s="951"/>
      <c r="F28" s="948" t="s">
        <v>1023</v>
      </c>
      <c r="G28" s="951"/>
      <c r="H28" s="951"/>
      <c r="K28" s="948" t="s">
        <v>1024</v>
      </c>
      <c r="L28" s="951"/>
      <c r="M28" s="951"/>
      <c r="N28" s="951"/>
      <c r="O28" s="951"/>
    </row>
    <row r="30" spans="1:15">
      <c r="B30" t="s">
        <v>87</v>
      </c>
      <c r="C30" t="s">
        <v>469</v>
      </c>
      <c r="H30" t="s">
        <v>87</v>
      </c>
      <c r="I30" t="s">
        <v>469</v>
      </c>
      <c r="N30" t="s">
        <v>87</v>
      </c>
      <c r="O30" t="s">
        <v>469</v>
      </c>
    </row>
    <row r="31" spans="1:15">
      <c r="A31" t="s">
        <v>562</v>
      </c>
      <c r="G31" t="s">
        <v>562</v>
      </c>
      <c r="M31" t="s">
        <v>562</v>
      </c>
      <c r="N31">
        <v>-1</v>
      </c>
      <c r="O31">
        <v>2</v>
      </c>
    </row>
    <row r="32" spans="1:15">
      <c r="A32" t="s">
        <v>563</v>
      </c>
      <c r="C32">
        <v>1</v>
      </c>
      <c r="G32" t="s">
        <v>563</v>
      </c>
      <c r="H32">
        <v>-7</v>
      </c>
      <c r="I32">
        <v>15</v>
      </c>
      <c r="M32" t="s">
        <v>563</v>
      </c>
      <c r="N32">
        <v>-2</v>
      </c>
      <c r="O32">
        <v>4</v>
      </c>
    </row>
    <row r="33" spans="1:15">
      <c r="A33" t="s">
        <v>564</v>
      </c>
      <c r="B33" s="1161"/>
      <c r="C33" s="1161">
        <v>3</v>
      </c>
      <c r="G33" t="s">
        <v>564</v>
      </c>
      <c r="H33">
        <v>-23</v>
      </c>
      <c r="I33">
        <v>25</v>
      </c>
      <c r="M33" t="s">
        <v>564</v>
      </c>
      <c r="N33">
        <v>-12</v>
      </c>
      <c r="O33">
        <v>6</v>
      </c>
    </row>
    <row r="34" spans="1:15">
      <c r="A34" t="s">
        <v>565</v>
      </c>
      <c r="B34" s="1161">
        <v>-3</v>
      </c>
      <c r="C34" s="1161">
        <v>16</v>
      </c>
      <c r="G34" t="s">
        <v>565</v>
      </c>
      <c r="H34">
        <v>-27</v>
      </c>
      <c r="I34">
        <v>28</v>
      </c>
      <c r="M34" t="s">
        <v>565</v>
      </c>
      <c r="N34">
        <v>-8</v>
      </c>
      <c r="O34">
        <v>14</v>
      </c>
    </row>
    <row r="35" spans="1:15">
      <c r="A35" t="s">
        <v>566</v>
      </c>
      <c r="B35" s="1161">
        <v>-12</v>
      </c>
      <c r="C35" s="1161">
        <v>17</v>
      </c>
      <c r="G35" t="s">
        <v>566</v>
      </c>
      <c r="H35">
        <v>-26</v>
      </c>
      <c r="I35">
        <v>26</v>
      </c>
      <c r="M35" t="s">
        <v>566</v>
      </c>
      <c r="N35">
        <v>-9</v>
      </c>
      <c r="O35">
        <v>21</v>
      </c>
    </row>
    <row r="36" spans="1:15">
      <c r="A36" t="s">
        <v>567</v>
      </c>
      <c r="B36" s="1161">
        <v>-5</v>
      </c>
      <c r="C36" s="1161">
        <v>28</v>
      </c>
      <c r="G36" t="s">
        <v>567</v>
      </c>
      <c r="H36">
        <v>-23</v>
      </c>
      <c r="I36">
        <v>29</v>
      </c>
      <c r="M36" t="s">
        <v>567</v>
      </c>
      <c r="N36">
        <v>-16</v>
      </c>
      <c r="O36">
        <v>14</v>
      </c>
    </row>
    <row r="37" spans="1:15">
      <c r="A37" t="s">
        <v>568</v>
      </c>
      <c r="B37" s="1161">
        <v>-7</v>
      </c>
      <c r="C37" s="1161">
        <v>31</v>
      </c>
      <c r="G37" t="s">
        <v>568</v>
      </c>
      <c r="H37">
        <v>-25</v>
      </c>
      <c r="I37">
        <v>26</v>
      </c>
      <c r="M37" t="s">
        <v>568</v>
      </c>
      <c r="N37">
        <v>-17</v>
      </c>
      <c r="O37">
        <v>17</v>
      </c>
    </row>
    <row r="38" spans="1:15">
      <c r="A38" t="s">
        <v>569</v>
      </c>
      <c r="B38" s="1161">
        <v>-9</v>
      </c>
      <c r="C38" s="1161">
        <v>33</v>
      </c>
      <c r="G38" t="s">
        <v>569</v>
      </c>
      <c r="H38">
        <v>-12</v>
      </c>
      <c r="I38">
        <v>11</v>
      </c>
      <c r="M38" t="s">
        <v>569</v>
      </c>
      <c r="N38">
        <v>-4</v>
      </c>
      <c r="O38">
        <v>16</v>
      </c>
    </row>
    <row r="39" spans="1:15">
      <c r="A39" t="s">
        <v>826</v>
      </c>
      <c r="B39" s="1161">
        <v>-1</v>
      </c>
      <c r="C39" s="1161">
        <v>13</v>
      </c>
      <c r="G39" t="s">
        <v>826</v>
      </c>
      <c r="I39">
        <v>1</v>
      </c>
      <c r="M39" t="s">
        <v>964</v>
      </c>
      <c r="N39">
        <v>0</v>
      </c>
      <c r="O39">
        <v>1</v>
      </c>
    </row>
    <row r="52" spans="1:15" ht="12.75">
      <c r="B52" s="951"/>
      <c r="D52" s="948"/>
      <c r="E52" s="948"/>
      <c r="F52" s="948"/>
      <c r="G52" s="948"/>
      <c r="H52" s="948"/>
    </row>
    <row r="53" spans="1:15" ht="12.75">
      <c r="A53" s="948" t="s">
        <v>1025</v>
      </c>
      <c r="B53" s="951"/>
      <c r="C53" s="951"/>
      <c r="D53" s="951"/>
      <c r="E53" s="951"/>
      <c r="F53" s="951"/>
      <c r="G53" s="951"/>
      <c r="L53" s="298" t="s">
        <v>688</v>
      </c>
    </row>
    <row r="55" spans="1:15" ht="11.25">
      <c r="B55" s="56"/>
      <c r="C55" s="56"/>
      <c r="E55" s="650" t="s">
        <v>87</v>
      </c>
      <c r="F55" s="650" t="s">
        <v>469</v>
      </c>
      <c r="L55" s="56"/>
      <c r="M55" s="56"/>
      <c r="N55" s="56"/>
    </row>
    <row r="56" spans="1:15" ht="30" customHeight="1">
      <c r="D56" t="s">
        <v>561</v>
      </c>
      <c r="E56" s="949">
        <v>-14</v>
      </c>
      <c r="F56" s="949">
        <v>20</v>
      </c>
      <c r="K56" s="289"/>
      <c r="L56" s="956" t="s">
        <v>683</v>
      </c>
      <c r="M56" s="1160" t="s">
        <v>941</v>
      </c>
      <c r="N56" s="956" t="s">
        <v>684</v>
      </c>
      <c r="O56" s="1160" t="s">
        <v>941</v>
      </c>
    </row>
    <row r="57" spans="1:15" ht="12">
      <c r="D57" s="953" t="s">
        <v>562</v>
      </c>
      <c r="E57" s="949">
        <v>-57</v>
      </c>
      <c r="F57" s="949">
        <v>70</v>
      </c>
      <c r="G57" s="56"/>
      <c r="K57" s="751" t="s">
        <v>25</v>
      </c>
      <c r="L57" s="878">
        <v>0.40740740740740738</v>
      </c>
      <c r="M57" s="955">
        <v>-2.222222222222232E-2</v>
      </c>
      <c r="N57" s="878">
        <v>0.33333333333333331</v>
      </c>
      <c r="O57" s="955">
        <v>0.14285714285714271</v>
      </c>
    </row>
    <row r="58" spans="1:15" ht="12">
      <c r="D58" s="953" t="s">
        <v>563</v>
      </c>
      <c r="E58" s="949">
        <v>-30</v>
      </c>
      <c r="F58" s="949">
        <v>57</v>
      </c>
      <c r="G58" s="650"/>
      <c r="K58" s="751" t="s">
        <v>687</v>
      </c>
      <c r="L58" s="878">
        <v>0</v>
      </c>
      <c r="M58" s="955">
        <v>-1</v>
      </c>
      <c r="N58" s="878">
        <v>0.2</v>
      </c>
      <c r="O58" s="955">
        <v>0.70000000000000007</v>
      </c>
    </row>
    <row r="59" spans="1:15" ht="12">
      <c r="D59" s="953" t="s">
        <v>564</v>
      </c>
      <c r="E59" s="949">
        <v>-15</v>
      </c>
      <c r="F59" s="949">
        <v>13</v>
      </c>
      <c r="G59" s="626"/>
      <c r="K59" s="751" t="s">
        <v>685</v>
      </c>
      <c r="L59" s="878">
        <v>0.532258064516129</v>
      </c>
      <c r="M59" s="955">
        <v>-0.26459000246244774</v>
      </c>
      <c r="N59" s="878">
        <v>0.17741935483870969</v>
      </c>
      <c r="O59" s="955">
        <v>7.0430107526881822E-2</v>
      </c>
    </row>
    <row r="60" spans="1:15" ht="12">
      <c r="D60" s="953" t="s">
        <v>565</v>
      </c>
      <c r="E60" s="949">
        <v>-6</v>
      </c>
      <c r="F60" s="949">
        <v>13</v>
      </c>
      <c r="G60" s="626"/>
      <c r="K60" s="751" t="s">
        <v>747</v>
      </c>
      <c r="L60" s="878">
        <v>0.2857142857142857</v>
      </c>
      <c r="M60" s="955">
        <v>-0.5714285714285714</v>
      </c>
      <c r="N60" s="878">
        <v>0.2857142857142857</v>
      </c>
      <c r="O60" s="955"/>
    </row>
    <row r="61" spans="1:15" ht="12">
      <c r="D61" s="953" t="s">
        <v>566</v>
      </c>
      <c r="E61" s="949">
        <v>-4</v>
      </c>
      <c r="F61" s="949">
        <v>4</v>
      </c>
      <c r="G61" s="626"/>
      <c r="K61" s="751" t="s">
        <v>686</v>
      </c>
      <c r="L61" s="878">
        <v>0.19607843137254902</v>
      </c>
      <c r="M61" s="955">
        <v>-3.4690799396681765E-2</v>
      </c>
      <c r="N61" s="878">
        <v>0.76470588235294112</v>
      </c>
      <c r="O61" s="955">
        <v>0.19368723098995688</v>
      </c>
    </row>
    <row r="62" spans="1:15" ht="12">
      <c r="D62" s="953" t="s">
        <v>567</v>
      </c>
      <c r="E62" s="949">
        <v>-2</v>
      </c>
      <c r="F62" s="949">
        <v>2</v>
      </c>
      <c r="G62" s="626"/>
      <c r="K62" s="751" t="s">
        <v>49</v>
      </c>
      <c r="L62" s="878">
        <v>0.66666666666666663</v>
      </c>
      <c r="M62" s="955">
        <v>-0.1428571428571429</v>
      </c>
      <c r="N62" s="878">
        <v>0.22222222222222221</v>
      </c>
      <c r="O62" s="955">
        <v>1</v>
      </c>
    </row>
    <row r="63" spans="1:15" ht="12">
      <c r="D63" s="953" t="s">
        <v>568</v>
      </c>
      <c r="E63" s="949">
        <v>-2</v>
      </c>
      <c r="F63" s="949">
        <v>2</v>
      </c>
      <c r="G63" s="626"/>
      <c r="K63" s="751" t="s">
        <v>50</v>
      </c>
      <c r="L63" s="878">
        <v>0</v>
      </c>
      <c r="M63" s="955"/>
      <c r="N63" s="878">
        <v>0.14285714285714285</v>
      </c>
      <c r="O63" s="955">
        <v>-0.33333333333333331</v>
      </c>
    </row>
    <row r="64" spans="1:15" ht="11.25">
      <c r="D64" s="953" t="s">
        <v>569</v>
      </c>
      <c r="E64" s="949">
        <v>0</v>
      </c>
      <c r="F64" s="949">
        <v>1</v>
      </c>
      <c r="G64" s="626"/>
    </row>
    <row r="65" spans="4:7" ht="11.25">
      <c r="D65" s="953" t="s">
        <v>964</v>
      </c>
      <c r="E65" s="949"/>
      <c r="F65" s="949"/>
      <c r="G65" s="626"/>
    </row>
    <row r="66" spans="4:7" ht="11.25">
      <c r="E66" s="625"/>
      <c r="F66" s="626"/>
      <c r="G66" s="626"/>
    </row>
    <row r="67" spans="4:7" ht="11.25">
      <c r="E67" s="625"/>
      <c r="F67" s="626"/>
      <c r="G67" s="626"/>
    </row>
  </sheetData>
  <pageMargins left="0.25" right="0.25" top="0.36458333333333331" bottom="0.1875" header="0.3" footer="0.3"/>
  <pageSetup paperSize="9" scale="6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T37"/>
  <sheetViews>
    <sheetView showGridLines="0" zoomScaleNormal="100" workbookViewId="0">
      <selection activeCell="O40" sqref="O40"/>
    </sheetView>
  </sheetViews>
  <sheetFormatPr baseColWidth="10" defaultRowHeight="10.5"/>
  <cols>
    <col min="1" max="1" width="5.6640625" bestFit="1" customWidth="1"/>
    <col min="2" max="2" width="5.1640625" customWidth="1"/>
    <col min="3" max="3" width="3.6640625" customWidth="1"/>
    <col min="4" max="4" width="4.33203125" customWidth="1"/>
    <col min="7" max="7" width="5.33203125" customWidth="1"/>
    <col min="8" max="8" width="7.5" customWidth="1"/>
    <col min="9" max="9" width="7.1640625" customWidth="1"/>
    <col min="10" max="10" width="4" customWidth="1"/>
    <col min="11" max="11" width="3.6640625" customWidth="1"/>
    <col min="16" max="16" width="5.6640625" bestFit="1" customWidth="1"/>
    <col min="17" max="17" width="3.6640625" bestFit="1" customWidth="1"/>
    <col min="18" max="18" width="3.1640625" bestFit="1" customWidth="1"/>
  </cols>
  <sheetData>
    <row r="1" spans="1:13" ht="18.75">
      <c r="B1" s="952" t="s">
        <v>1026</v>
      </c>
      <c r="C1" s="954"/>
      <c r="D1" s="954"/>
      <c r="E1" s="954"/>
      <c r="F1" s="954"/>
      <c r="G1" s="954"/>
      <c r="H1" s="954"/>
      <c r="I1" s="154"/>
      <c r="J1" s="154"/>
      <c r="K1" s="154"/>
      <c r="L1" s="154"/>
      <c r="M1" s="154"/>
    </row>
    <row r="2" spans="1:13">
      <c r="A2" s="14"/>
    </row>
    <row r="3" spans="1:13">
      <c r="A3" s="14"/>
      <c r="J3" s="318" t="s">
        <v>309</v>
      </c>
      <c r="K3" s="317"/>
      <c r="L3" s="317"/>
    </row>
    <row r="4" spans="1:13">
      <c r="A4" s="14"/>
      <c r="K4" t="s">
        <v>87</v>
      </c>
      <c r="L4" t="s">
        <v>130</v>
      </c>
    </row>
    <row r="5" spans="1:13">
      <c r="A5" s="14"/>
      <c r="J5" t="s">
        <v>892</v>
      </c>
      <c r="K5" s="949">
        <v>-2</v>
      </c>
      <c r="L5" s="949"/>
    </row>
    <row r="6" spans="1:13">
      <c r="A6" s="14"/>
      <c r="J6" t="s">
        <v>893</v>
      </c>
      <c r="K6" s="949">
        <v>-2</v>
      </c>
      <c r="L6" s="949"/>
    </row>
    <row r="7" spans="1:13">
      <c r="A7" s="14"/>
      <c r="J7" t="s">
        <v>894</v>
      </c>
      <c r="K7" s="949">
        <v>-16</v>
      </c>
      <c r="L7" s="949">
        <v>3</v>
      </c>
    </row>
    <row r="8" spans="1:13">
      <c r="A8" s="14"/>
      <c r="J8" t="s">
        <v>895</v>
      </c>
      <c r="K8" s="949">
        <v>-23</v>
      </c>
      <c r="L8" s="949">
        <v>14</v>
      </c>
    </row>
    <row r="9" spans="1:13">
      <c r="A9" s="14"/>
      <c r="J9" t="s">
        <v>896</v>
      </c>
      <c r="K9" s="949">
        <v>-44</v>
      </c>
      <c r="L9" s="949">
        <v>14</v>
      </c>
    </row>
    <row r="10" spans="1:13">
      <c r="A10" s="14"/>
      <c r="J10" t="s">
        <v>897</v>
      </c>
      <c r="K10" s="949">
        <v>-50</v>
      </c>
      <c r="L10" s="949">
        <v>25</v>
      </c>
    </row>
    <row r="11" spans="1:13">
      <c r="A11" s="14"/>
      <c r="J11" t="s">
        <v>898</v>
      </c>
      <c r="K11" s="949">
        <v>-64</v>
      </c>
      <c r="L11" s="949">
        <v>34</v>
      </c>
    </row>
    <row r="12" spans="1:13">
      <c r="A12" s="14"/>
      <c r="J12" t="s">
        <v>899</v>
      </c>
      <c r="K12" s="949">
        <v>-54</v>
      </c>
      <c r="L12" s="949">
        <v>24</v>
      </c>
    </row>
    <row r="13" spans="1:13">
      <c r="J13" t="s">
        <v>900</v>
      </c>
      <c r="K13" s="949">
        <v>-27</v>
      </c>
      <c r="L13" s="949">
        <v>11</v>
      </c>
    </row>
    <row r="14" spans="1:13">
      <c r="A14" s="14"/>
      <c r="J14" t="s">
        <v>964</v>
      </c>
      <c r="K14">
        <v>-3</v>
      </c>
      <c r="L14">
        <v>1</v>
      </c>
    </row>
    <row r="15" spans="1:13">
      <c r="A15" s="14"/>
      <c r="D15" s="317"/>
    </row>
    <row r="16" spans="1:13">
      <c r="A16" s="319"/>
      <c r="B16" s="317"/>
      <c r="C16" s="317"/>
      <c r="D16" s="317"/>
      <c r="E16" s="317"/>
      <c r="F16" s="317"/>
      <c r="G16" s="317"/>
      <c r="H16" s="317"/>
      <c r="I16" s="317"/>
    </row>
    <row r="17" spans="1:20">
      <c r="A17" s="319"/>
      <c r="B17" s="317"/>
      <c r="C17" s="317"/>
      <c r="D17" s="317"/>
      <c r="E17" s="317"/>
      <c r="F17" s="317"/>
      <c r="G17" s="317"/>
      <c r="H17" s="317"/>
      <c r="I17" s="317"/>
    </row>
    <row r="18" spans="1:20">
      <c r="A18" s="319"/>
      <c r="B18" s="317"/>
      <c r="C18" s="317"/>
      <c r="D18" s="317"/>
      <c r="E18" s="317"/>
      <c r="F18" s="317"/>
      <c r="G18" s="317"/>
      <c r="H18" s="317"/>
      <c r="I18" s="317"/>
    </row>
    <row r="24" spans="1:20" ht="12.75">
      <c r="A24" s="948" t="s">
        <v>772</v>
      </c>
      <c r="B24" s="951"/>
      <c r="C24" s="951"/>
      <c r="D24" s="951"/>
      <c r="E24" s="951"/>
      <c r="F24" s="951"/>
      <c r="H24" s="948" t="s">
        <v>772</v>
      </c>
      <c r="I24" s="951"/>
      <c r="J24" s="951"/>
      <c r="K24" s="951"/>
      <c r="L24" s="951"/>
      <c r="M24" s="951"/>
      <c r="O24" s="948" t="s">
        <v>772</v>
      </c>
      <c r="P24" s="951"/>
      <c r="Q24" s="951"/>
      <c r="R24" s="951"/>
      <c r="S24" s="951"/>
      <c r="T24" s="951"/>
    </row>
    <row r="25" spans="1:20" ht="12.75">
      <c r="A25" s="948" t="s">
        <v>1027</v>
      </c>
      <c r="B25" s="948"/>
      <c r="C25" s="948"/>
      <c r="D25" s="951"/>
      <c r="E25" s="951"/>
      <c r="F25" s="951"/>
      <c r="H25" s="948" t="s">
        <v>1028</v>
      </c>
      <c r="I25" s="948"/>
      <c r="J25" s="948"/>
      <c r="K25" s="951"/>
      <c r="L25" s="951"/>
      <c r="M25" s="951"/>
      <c r="O25" s="948" t="s">
        <v>1029</v>
      </c>
      <c r="P25" s="948"/>
      <c r="Q25" s="948"/>
      <c r="R25" s="951"/>
      <c r="S25" s="951"/>
      <c r="T25" s="951"/>
    </row>
    <row r="27" spans="1:20">
      <c r="A27" t="s">
        <v>421</v>
      </c>
      <c r="B27" t="s">
        <v>87</v>
      </c>
      <c r="C27" t="s">
        <v>469</v>
      </c>
      <c r="I27" t="s">
        <v>422</v>
      </c>
      <c r="J27" t="s">
        <v>87</v>
      </c>
      <c r="K27" t="s">
        <v>469</v>
      </c>
      <c r="P27" t="s">
        <v>423</v>
      </c>
      <c r="Q27" t="s">
        <v>87</v>
      </c>
      <c r="R27" t="s">
        <v>469</v>
      </c>
    </row>
    <row r="28" spans="1:20">
      <c r="A28" t="s">
        <v>562</v>
      </c>
      <c r="I28" t="s">
        <v>563</v>
      </c>
      <c r="J28">
        <v>-4</v>
      </c>
      <c r="P28" t="s">
        <v>561</v>
      </c>
      <c r="Q28">
        <v>-2</v>
      </c>
    </row>
    <row r="29" spans="1:20">
      <c r="A29" t="s">
        <v>563</v>
      </c>
      <c r="B29">
        <v>-4</v>
      </c>
      <c r="C29">
        <v>1</v>
      </c>
      <c r="I29" t="s">
        <v>564</v>
      </c>
      <c r="J29">
        <v>-12</v>
      </c>
      <c r="K29">
        <v>5</v>
      </c>
      <c r="P29" t="s">
        <v>562</v>
      </c>
      <c r="Q29">
        <v>-2</v>
      </c>
    </row>
    <row r="30" spans="1:20">
      <c r="A30" t="s">
        <v>564</v>
      </c>
      <c r="B30">
        <v>-4</v>
      </c>
      <c r="C30">
        <v>7</v>
      </c>
      <c r="I30" t="s">
        <v>565</v>
      </c>
      <c r="J30">
        <v>-16</v>
      </c>
      <c r="K30">
        <v>2</v>
      </c>
      <c r="P30" t="s">
        <v>563</v>
      </c>
      <c r="Q30">
        <v>-8</v>
      </c>
      <c r="R30">
        <v>2</v>
      </c>
    </row>
    <row r="31" spans="1:20">
      <c r="A31" t="s">
        <v>565</v>
      </c>
      <c r="B31">
        <v>-14</v>
      </c>
      <c r="C31">
        <v>10</v>
      </c>
      <c r="I31" t="s">
        <v>566</v>
      </c>
      <c r="J31">
        <v>-17</v>
      </c>
      <c r="K31">
        <v>5</v>
      </c>
      <c r="P31" t="s">
        <v>564</v>
      </c>
      <c r="Q31">
        <v>-7</v>
      </c>
      <c r="R31">
        <v>2</v>
      </c>
    </row>
    <row r="32" spans="1:20">
      <c r="A32" t="s">
        <v>566</v>
      </c>
      <c r="B32">
        <v>-17</v>
      </c>
      <c r="C32">
        <v>12</v>
      </c>
      <c r="I32" t="s">
        <v>567</v>
      </c>
      <c r="J32">
        <v>-25</v>
      </c>
      <c r="K32">
        <v>11</v>
      </c>
      <c r="P32" t="s">
        <v>565</v>
      </c>
      <c r="Q32">
        <v>-14</v>
      </c>
      <c r="R32">
        <v>2</v>
      </c>
    </row>
    <row r="33" spans="1:18">
      <c r="A33" t="s">
        <v>567</v>
      </c>
      <c r="B33">
        <v>-19</v>
      </c>
      <c r="C33">
        <v>13</v>
      </c>
      <c r="I33" t="s">
        <v>568</v>
      </c>
      <c r="J33">
        <v>-21</v>
      </c>
      <c r="K33">
        <v>6</v>
      </c>
      <c r="P33" t="s">
        <v>566</v>
      </c>
      <c r="Q33">
        <v>-16</v>
      </c>
      <c r="R33">
        <v>8</v>
      </c>
    </row>
    <row r="34" spans="1:18">
      <c r="A34" t="s">
        <v>568</v>
      </c>
      <c r="B34">
        <v>-13</v>
      </c>
      <c r="C34">
        <v>12</v>
      </c>
      <c r="I34" t="s">
        <v>569</v>
      </c>
      <c r="J34">
        <v>-9</v>
      </c>
      <c r="K34">
        <v>5</v>
      </c>
      <c r="P34" t="s">
        <v>567</v>
      </c>
      <c r="Q34">
        <v>-20</v>
      </c>
      <c r="R34">
        <v>10</v>
      </c>
    </row>
    <row r="35" spans="1:18">
      <c r="A35" t="s">
        <v>569</v>
      </c>
      <c r="B35">
        <v>-7</v>
      </c>
      <c r="C35">
        <v>3</v>
      </c>
      <c r="I35" t="s">
        <v>964</v>
      </c>
      <c r="J35">
        <v>-1</v>
      </c>
      <c r="K35">
        <v>1</v>
      </c>
      <c r="P35" t="s">
        <v>568</v>
      </c>
      <c r="Q35">
        <v>-20</v>
      </c>
      <c r="R35">
        <v>6</v>
      </c>
    </row>
    <row r="36" spans="1:18">
      <c r="A36" t="s">
        <v>964</v>
      </c>
      <c r="B36">
        <v>-1</v>
      </c>
      <c r="P36" t="s">
        <v>569</v>
      </c>
      <c r="Q36">
        <v>-11</v>
      </c>
      <c r="R36">
        <v>3</v>
      </c>
    </row>
    <row r="37" spans="1:18">
      <c r="P37" t="s">
        <v>964</v>
      </c>
      <c r="Q37">
        <v>-1</v>
      </c>
    </row>
  </sheetData>
  <pageMargins left="0.7" right="0.60416666666666663" top="0.26041666666666669" bottom="0.23958333333333334"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0:P68"/>
  <sheetViews>
    <sheetView showGridLines="0" zoomScaleNormal="100" zoomScaleSheetLayoutView="70" workbookViewId="0">
      <selection activeCell="O39" sqref="O39"/>
    </sheetView>
  </sheetViews>
  <sheetFormatPr baseColWidth="10" defaultColWidth="12" defaultRowHeight="15.6" customHeight="1"/>
  <cols>
    <col min="1" max="16" width="12.1640625" style="175" customWidth="1"/>
    <col min="17" max="16384" width="12" style="175"/>
  </cols>
  <sheetData>
    <row r="10" spans="1:16" ht="15.6" customHeight="1">
      <c r="A10" s="784"/>
      <c r="B10" s="784"/>
      <c r="C10" s="784"/>
      <c r="D10" s="784"/>
      <c r="E10" s="784"/>
      <c r="F10" s="784"/>
      <c r="G10" s="784"/>
      <c r="H10" s="784"/>
      <c r="I10" s="784"/>
      <c r="J10" s="784"/>
      <c r="K10" s="784"/>
      <c r="L10" s="784"/>
      <c r="M10" s="784"/>
      <c r="N10" s="784"/>
      <c r="O10" s="784"/>
      <c r="P10" s="293"/>
    </row>
    <row r="11" spans="1:16" ht="15.6" customHeight="1">
      <c r="A11" s="289"/>
      <c r="B11" s="289"/>
      <c r="C11" s="289"/>
      <c r="D11" s="289"/>
      <c r="E11" s="289"/>
      <c r="F11" s="289"/>
      <c r="G11" s="289"/>
      <c r="H11" s="289"/>
      <c r="I11" s="289"/>
      <c r="J11" s="289"/>
      <c r="K11" s="289"/>
    </row>
    <row r="12" spans="1:16" ht="15.6" customHeight="1">
      <c r="B12" s="358"/>
      <c r="D12" s="289"/>
      <c r="E12" s="289"/>
      <c r="F12" s="289"/>
      <c r="I12" s="358" t="s">
        <v>682</v>
      </c>
      <c r="J12" s="289"/>
      <c r="K12" s="289"/>
      <c r="O12" s="307"/>
    </row>
    <row r="13" spans="1:16" ht="15.6" customHeight="1">
      <c r="B13" s="359"/>
      <c r="C13" s="292"/>
      <c r="D13" s="289"/>
      <c r="E13" s="289"/>
      <c r="F13" s="289"/>
      <c r="I13" s="359"/>
      <c r="J13" s="306"/>
      <c r="K13" s="289"/>
    </row>
    <row r="14" spans="1:16" ht="15.6" customHeight="1">
      <c r="B14" s="305"/>
      <c r="C14" s="289"/>
      <c r="D14" s="289"/>
      <c r="E14" s="289"/>
      <c r="F14" s="289"/>
      <c r="I14" s="359"/>
      <c r="J14" s="306"/>
      <c r="K14" s="289"/>
    </row>
    <row r="15" spans="1:16" ht="15.6" customHeight="1">
      <c r="B15" s="305"/>
      <c r="C15" s="289"/>
      <c r="D15" s="289"/>
      <c r="E15" s="289"/>
      <c r="F15" s="289"/>
      <c r="I15" s="359"/>
      <c r="J15" s="306"/>
      <c r="K15" s="289"/>
    </row>
    <row r="16" spans="1:16" ht="15.6" customHeight="1">
      <c r="B16" s="305"/>
      <c r="C16" s="289"/>
      <c r="D16" s="289"/>
      <c r="E16" s="289"/>
      <c r="F16" s="289"/>
      <c r="I16" s="359"/>
      <c r="J16" s="306"/>
      <c r="K16" s="289"/>
    </row>
    <row r="17" spans="2:15" ht="15.6" customHeight="1">
      <c r="B17" s="305"/>
      <c r="C17" s="289"/>
      <c r="D17" s="289"/>
      <c r="E17" s="289"/>
      <c r="F17" s="289"/>
      <c r="I17" s="359"/>
      <c r="J17" s="306"/>
      <c r="K17" s="289"/>
    </row>
    <row r="18" spans="2:15" ht="15.6" customHeight="1">
      <c r="B18" s="305"/>
      <c r="C18" s="289"/>
      <c r="D18" s="289"/>
      <c r="E18" s="289"/>
      <c r="F18" s="289"/>
      <c r="I18" s="359"/>
      <c r="J18" s="306"/>
      <c r="K18" s="307"/>
    </row>
    <row r="19" spans="2:15" ht="15.6" customHeight="1">
      <c r="B19" s="359"/>
      <c r="C19" s="292"/>
      <c r="D19" s="289"/>
      <c r="E19" s="289"/>
      <c r="F19" s="289"/>
      <c r="I19" s="359"/>
      <c r="J19" s="306"/>
      <c r="K19" s="289"/>
    </row>
    <row r="20" spans="2:15" ht="15.6" customHeight="1">
      <c r="B20" s="305"/>
      <c r="C20" s="289"/>
      <c r="D20" s="289"/>
      <c r="E20" s="289"/>
      <c r="F20" s="289"/>
      <c r="I20" s="305"/>
      <c r="J20" s="289"/>
      <c r="K20" s="289"/>
    </row>
    <row r="21" spans="2:15" ht="15.6" customHeight="1">
      <c r="B21" s="305"/>
      <c r="C21" s="289"/>
      <c r="D21" s="289"/>
      <c r="E21" s="289"/>
      <c r="F21" s="289"/>
      <c r="I21" s="358"/>
      <c r="K21" s="289"/>
      <c r="O21" s="890"/>
    </row>
    <row r="22" spans="2:15" ht="15.6" customHeight="1">
      <c r="B22" s="305"/>
      <c r="C22" s="289"/>
      <c r="D22" s="289"/>
      <c r="E22" s="289"/>
      <c r="F22" s="289"/>
    </row>
    <row r="23" spans="2:15" ht="15.6" customHeight="1">
      <c r="B23" s="305"/>
      <c r="C23" s="289"/>
      <c r="D23" s="289"/>
      <c r="E23" s="289"/>
      <c r="F23" s="289"/>
      <c r="I23" s="359"/>
      <c r="J23" s="306"/>
      <c r="K23" s="289"/>
    </row>
    <row r="24" spans="2:15" ht="15.6" customHeight="1">
      <c r="B24" s="359"/>
      <c r="C24" s="292"/>
      <c r="D24" s="289"/>
      <c r="E24" s="289"/>
      <c r="F24" s="289"/>
      <c r="I24" s="359"/>
      <c r="J24" s="306"/>
      <c r="K24" s="289"/>
    </row>
    <row r="25" spans="2:15" ht="15.6" customHeight="1">
      <c r="B25" s="305"/>
      <c r="D25" s="289"/>
      <c r="E25" s="289"/>
      <c r="F25" s="289"/>
      <c r="I25" s="359"/>
      <c r="J25" s="306"/>
      <c r="K25" s="289"/>
    </row>
    <row r="26" spans="2:15" ht="15.6" customHeight="1">
      <c r="B26" s="359"/>
      <c r="C26" s="291"/>
      <c r="F26" s="289"/>
      <c r="I26" s="305"/>
      <c r="K26" s="289"/>
    </row>
    <row r="27" spans="2:15" ht="15.6" customHeight="1">
      <c r="C27" s="289"/>
      <c r="I27" s="358"/>
      <c r="K27" s="289"/>
    </row>
    <row r="28" spans="2:15" ht="15.6" customHeight="1">
      <c r="C28" s="289"/>
      <c r="I28" s="305"/>
      <c r="J28" s="283"/>
      <c r="K28" s="289"/>
    </row>
    <row r="29" spans="2:15" ht="15.6" customHeight="1">
      <c r="C29" s="289"/>
      <c r="I29" s="359"/>
      <c r="J29" s="306"/>
      <c r="K29" s="289"/>
    </row>
    <row r="30" spans="2:15" ht="15.6" customHeight="1">
      <c r="C30" s="289"/>
      <c r="I30" s="305"/>
      <c r="J30" s="289"/>
      <c r="K30" s="289"/>
      <c r="O30" s="169"/>
    </row>
    <row r="31" spans="2:15" ht="15.6" customHeight="1">
      <c r="C31" s="289"/>
      <c r="I31" s="305"/>
      <c r="J31" s="289"/>
      <c r="K31" s="289"/>
    </row>
    <row r="32" spans="2:15" ht="15.6" customHeight="1">
      <c r="C32" s="289"/>
      <c r="I32" s="305"/>
      <c r="J32" s="289"/>
      <c r="K32" s="289"/>
    </row>
    <row r="33" spans="2:16" ht="15.6" customHeight="1">
      <c r="C33" s="289"/>
      <c r="I33" s="305"/>
      <c r="K33" s="289"/>
    </row>
    <row r="34" spans="2:16" ht="15.6" customHeight="1">
      <c r="C34" s="289"/>
      <c r="I34" s="359"/>
      <c r="J34" s="293"/>
      <c r="K34" s="289"/>
    </row>
    <row r="35" spans="2:16" ht="15.6" customHeight="1">
      <c r="C35" s="289"/>
      <c r="E35" s="289"/>
      <c r="I35" s="359"/>
      <c r="P35" s="175" t="s">
        <v>730</v>
      </c>
    </row>
    <row r="36" spans="2:16" ht="15.6" customHeight="1">
      <c r="D36" s="314"/>
      <c r="E36" s="592"/>
      <c r="F36" s="314"/>
      <c r="I36" s="359"/>
      <c r="J36" s="293"/>
      <c r="K36" s="289"/>
    </row>
    <row r="37" spans="2:16" ht="15.6" customHeight="1">
      <c r="B37" s="289"/>
      <c r="E37" s="289"/>
      <c r="I37" s="359"/>
      <c r="J37" s="293"/>
      <c r="K37" s="289"/>
    </row>
    <row r="38" spans="2:16" ht="15.6" customHeight="1">
      <c r="B38" s="289"/>
      <c r="E38" s="289"/>
      <c r="F38" s="289"/>
      <c r="I38" s="305"/>
      <c r="J38" s="293"/>
      <c r="K38" s="289"/>
    </row>
    <row r="39" spans="2:16" ht="15.6" customHeight="1">
      <c r="F39" s="289"/>
      <c r="I39" s="305"/>
      <c r="J39" s="293"/>
      <c r="K39" s="289"/>
    </row>
    <row r="40" spans="2:16" ht="15.6" customHeight="1">
      <c r="F40" s="289"/>
      <c r="G40" s="289"/>
      <c r="I40" s="359"/>
      <c r="J40" s="293"/>
      <c r="K40" s="289"/>
    </row>
    <row r="41" spans="2:16" ht="15.6" customHeight="1">
      <c r="F41" s="289"/>
      <c r="G41" s="289"/>
      <c r="I41" s="305"/>
      <c r="J41" s="293"/>
      <c r="K41" s="289"/>
    </row>
    <row r="42" spans="2:16" ht="15.6" customHeight="1">
      <c r="G42" s="289"/>
      <c r="I42" s="305"/>
      <c r="K42" s="289"/>
    </row>
    <row r="44" spans="2:16" ht="15.6" customHeight="1">
      <c r="D44" s="175">
        <v>20756</v>
      </c>
      <c r="E44" s="175">
        <v>3129</v>
      </c>
    </row>
    <row r="45" spans="2:16" ht="15.6" customHeight="1">
      <c r="B45" s="169"/>
      <c r="D45" s="175">
        <v>22176</v>
      </c>
      <c r="E45" s="175">
        <v>3039</v>
      </c>
    </row>
    <row r="46" spans="2:16" ht="15.6" customHeight="1">
      <c r="D46" s="1004">
        <f>(D45-D44)/D44</f>
        <v>6.8413952592021585E-2</v>
      </c>
      <c r="E46" s="1004">
        <f>(E45-E44)/E44</f>
        <v>-2.8763183125599234E-2</v>
      </c>
    </row>
    <row r="47" spans="2:16" ht="15.6" customHeight="1">
      <c r="O47" s="169"/>
    </row>
    <row r="50" spans="1:11" ht="15.6" customHeight="1">
      <c r="B50" s="289"/>
    </row>
    <row r="51" spans="1:11" ht="15.6" customHeight="1">
      <c r="B51" s="289"/>
    </row>
    <row r="52" spans="1:11" ht="15.6" customHeight="1">
      <c r="B52" s="289"/>
    </row>
    <row r="53" spans="1:11" ht="15.6" customHeight="1">
      <c r="B53" s="289"/>
      <c r="E53" s="289"/>
      <c r="F53" s="289"/>
      <c r="G53" s="289"/>
      <c r="I53" s="358"/>
      <c r="K53" s="289"/>
    </row>
    <row r="54" spans="1:11" ht="15.6" customHeight="1">
      <c r="B54" s="289"/>
      <c r="C54" s="358"/>
      <c r="D54" s="289"/>
      <c r="E54" s="289"/>
      <c r="F54" s="289"/>
      <c r="G54" s="289"/>
      <c r="I54" s="305"/>
      <c r="J54" s="294"/>
      <c r="K54" s="289"/>
    </row>
    <row r="55" spans="1:11" ht="15.6" customHeight="1">
      <c r="B55" s="289"/>
      <c r="C55" s="290"/>
      <c r="D55" s="289"/>
      <c r="E55" s="289"/>
      <c r="F55" s="289"/>
      <c r="G55" s="289"/>
      <c r="I55" s="360"/>
      <c r="J55" s="306"/>
      <c r="K55" s="289"/>
    </row>
    <row r="56" spans="1:11" ht="15.6" customHeight="1">
      <c r="A56" s="289"/>
      <c r="B56" s="289"/>
      <c r="C56" s="432"/>
      <c r="D56" s="289"/>
      <c r="E56" s="289"/>
      <c r="F56" s="289"/>
      <c r="G56" s="289"/>
      <c r="H56" s="289"/>
      <c r="I56" s="360"/>
      <c r="K56" s="289"/>
    </row>
    <row r="57" spans="1:11" ht="15.6" customHeight="1">
      <c r="C57" s="432"/>
      <c r="D57" s="289"/>
      <c r="E57" s="289"/>
      <c r="F57" s="289"/>
      <c r="G57" s="289"/>
      <c r="H57" s="289"/>
      <c r="I57" s="359"/>
      <c r="K57" s="289"/>
    </row>
    <row r="58" spans="1:11" ht="15.6" customHeight="1">
      <c r="C58" s="432"/>
      <c r="D58" s="289"/>
      <c r="E58" s="289"/>
      <c r="F58" s="289"/>
      <c r="G58" s="289"/>
      <c r="H58" s="289"/>
      <c r="I58" s="359"/>
      <c r="J58" s="306"/>
      <c r="K58" s="289"/>
    </row>
    <row r="59" spans="1:11" ht="15.6" customHeight="1">
      <c r="C59" s="432"/>
      <c r="D59" s="289"/>
      <c r="E59" s="289"/>
      <c r="F59" s="289"/>
      <c r="G59" s="289"/>
      <c r="H59" s="289"/>
      <c r="I59" s="359"/>
      <c r="J59" s="294"/>
      <c r="K59" s="289"/>
    </row>
    <row r="60" spans="1:11" ht="15.6" customHeight="1">
      <c r="C60" s="432"/>
      <c r="E60" s="289"/>
      <c r="F60" s="289"/>
      <c r="G60" s="289"/>
      <c r="H60" s="289"/>
      <c r="I60" s="289"/>
      <c r="J60" s="289"/>
      <c r="K60" s="289"/>
    </row>
    <row r="61" spans="1:11" ht="15.6" customHeight="1">
      <c r="C61" s="432"/>
      <c r="G61" s="289"/>
      <c r="H61" s="289"/>
      <c r="I61" s="289"/>
      <c r="J61" s="289"/>
      <c r="K61" s="289"/>
    </row>
    <row r="62" spans="1:11" ht="15.6" customHeight="1">
      <c r="C62" s="432"/>
      <c r="D62" s="289"/>
      <c r="E62" s="289"/>
      <c r="F62" s="289"/>
      <c r="G62" s="289"/>
      <c r="H62" s="289"/>
      <c r="I62" s="289"/>
      <c r="J62" s="289"/>
      <c r="K62" s="289"/>
    </row>
    <row r="63" spans="1:11" ht="15.6" customHeight="1">
      <c r="C63" s="432"/>
      <c r="D63" s="289"/>
      <c r="E63" s="289"/>
      <c r="F63" s="289"/>
      <c r="G63" s="289"/>
      <c r="H63" s="289"/>
      <c r="I63" s="289"/>
      <c r="J63" s="289"/>
      <c r="K63" s="289"/>
    </row>
    <row r="64" spans="1:11" ht="15.6" customHeight="1">
      <c r="B64" s="289"/>
      <c r="C64" s="432"/>
      <c r="D64" s="289"/>
      <c r="E64" s="289"/>
      <c r="F64" s="289"/>
      <c r="G64" s="289"/>
      <c r="H64" s="289"/>
      <c r="I64" s="289"/>
      <c r="J64" s="289"/>
      <c r="K64" s="289"/>
    </row>
    <row r="65" spans="2:11" ht="15.6" customHeight="1">
      <c r="B65" s="289"/>
      <c r="C65" s="432"/>
      <c r="D65" s="289"/>
      <c r="E65" s="289"/>
      <c r="F65" s="289"/>
      <c r="G65" s="289"/>
      <c r="H65" s="289"/>
      <c r="I65" s="289"/>
      <c r="J65" s="289"/>
      <c r="K65" s="289"/>
    </row>
    <row r="66" spans="2:11" ht="15.6" customHeight="1">
      <c r="B66" s="289"/>
      <c r="C66" s="432"/>
      <c r="D66" s="289"/>
      <c r="E66" s="289"/>
      <c r="G66" s="289"/>
      <c r="H66" s="289"/>
      <c r="I66" s="289"/>
      <c r="J66" s="289"/>
      <c r="K66" s="289"/>
    </row>
    <row r="67" spans="2:11" ht="15.6" customHeight="1">
      <c r="B67" s="289"/>
      <c r="C67" s="289"/>
      <c r="D67" s="289"/>
      <c r="E67" s="289"/>
      <c r="G67" s="289"/>
      <c r="H67" s="289"/>
      <c r="I67" s="289"/>
      <c r="J67" s="289"/>
      <c r="K67" s="289"/>
    </row>
    <row r="68" spans="2:11" ht="15.6" customHeight="1">
      <c r="B68" s="289"/>
      <c r="C68" s="289"/>
      <c r="D68" s="289"/>
      <c r="E68" s="289"/>
      <c r="G68" s="289"/>
      <c r="H68" s="289"/>
      <c r="I68" s="289"/>
      <c r="J68" s="289"/>
      <c r="K68" s="289"/>
    </row>
  </sheetData>
  <pageMargins left="0.11811023622047245" right="0.11811023622047245" top="0.15748031496062992" bottom="0.15748031496062992" header="0.31496062992125984" footer="0.31496062992125984"/>
  <pageSetup paperSize="9" scale="89" orientation="landscape" r:id="rId1"/>
  <rowBreaks count="1" manualBreakCount="1">
    <brk id="40"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336"/>
  <sheetViews>
    <sheetView showGridLines="0" zoomScaleNormal="110" zoomScaleSheetLayoutView="90" zoomScalePageLayoutView="110" workbookViewId="0">
      <selection activeCell="O40" sqref="O40"/>
    </sheetView>
  </sheetViews>
  <sheetFormatPr baseColWidth="10" defaultRowHeight="11.25"/>
  <cols>
    <col min="1" max="15" width="11.6640625" customWidth="1"/>
    <col min="16" max="16" width="5.5" customWidth="1"/>
    <col min="17" max="23" width="11.5" style="56"/>
  </cols>
  <sheetData>
    <row r="1" spans="1:14" ht="24" customHeight="1">
      <c r="A1" s="948" t="s">
        <v>1030</v>
      </c>
      <c r="B1" s="948"/>
      <c r="C1" s="948"/>
      <c r="D1" s="948"/>
      <c r="E1" s="948"/>
      <c r="F1" s="948"/>
      <c r="I1" s="948" t="s">
        <v>1031</v>
      </c>
      <c r="J1" s="951"/>
      <c r="K1" s="951"/>
      <c r="L1" s="951"/>
      <c r="M1" s="951"/>
      <c r="N1" s="951"/>
    </row>
    <row r="3" spans="1:14">
      <c r="E3" s="14"/>
    </row>
    <row r="4" spans="1:14">
      <c r="L4" t="s">
        <v>87</v>
      </c>
      <c r="M4" t="s">
        <v>469</v>
      </c>
    </row>
    <row r="5" spans="1:14" ht="7.5" customHeight="1">
      <c r="B5" s="56"/>
      <c r="C5" s="56"/>
      <c r="D5" s="56" t="s">
        <v>87</v>
      </c>
      <c r="E5" s="56" t="s">
        <v>469</v>
      </c>
      <c r="J5" s="56"/>
      <c r="K5" t="s">
        <v>824</v>
      </c>
      <c r="M5" s="852"/>
    </row>
    <row r="6" spans="1:14" ht="7.5" customHeight="1">
      <c r="B6" s="56"/>
      <c r="C6" t="s">
        <v>562</v>
      </c>
      <c r="D6">
        <v>-8</v>
      </c>
      <c r="E6">
        <v>3</v>
      </c>
      <c r="J6" s="625"/>
      <c r="K6" t="s">
        <v>561</v>
      </c>
      <c r="L6">
        <v>-15</v>
      </c>
      <c r="M6" s="852">
        <v>8</v>
      </c>
    </row>
    <row r="7" spans="1:14" ht="7.5" customHeight="1">
      <c r="B7" s="56"/>
      <c r="C7" s="56" t="s">
        <v>563</v>
      </c>
      <c r="D7" s="56">
        <v>-10</v>
      </c>
      <c r="E7" s="56">
        <v>4</v>
      </c>
      <c r="J7" s="625"/>
      <c r="K7" t="s">
        <v>562</v>
      </c>
      <c r="L7">
        <v>-25</v>
      </c>
      <c r="M7" s="852">
        <v>14</v>
      </c>
    </row>
    <row r="8" spans="1:14" ht="7.5" customHeight="1">
      <c r="B8" s="56"/>
      <c r="C8" s="56" t="s">
        <v>564</v>
      </c>
      <c r="D8" s="56">
        <v>-10</v>
      </c>
      <c r="E8" s="56">
        <v>5</v>
      </c>
      <c r="J8" s="625"/>
      <c r="K8" t="s">
        <v>563</v>
      </c>
      <c r="L8">
        <v>-12</v>
      </c>
      <c r="M8" s="852">
        <v>6</v>
      </c>
    </row>
    <row r="9" spans="1:14" ht="7.5" customHeight="1">
      <c r="B9" s="56"/>
      <c r="C9" s="56" t="s">
        <v>565</v>
      </c>
      <c r="D9" s="56">
        <v>-10</v>
      </c>
      <c r="E9" s="56">
        <v>4</v>
      </c>
      <c r="J9" s="625"/>
      <c r="K9" t="s">
        <v>564</v>
      </c>
      <c r="L9">
        <v>-24</v>
      </c>
      <c r="M9" s="852">
        <v>5</v>
      </c>
    </row>
    <row r="10" spans="1:14" ht="7.5" customHeight="1">
      <c r="B10" s="56"/>
      <c r="C10" s="56" t="s">
        <v>566</v>
      </c>
      <c r="D10">
        <v>-12</v>
      </c>
      <c r="E10">
        <v>5</v>
      </c>
      <c r="J10" s="625"/>
      <c r="K10" t="s">
        <v>565</v>
      </c>
      <c r="L10">
        <v>-19</v>
      </c>
      <c r="M10" s="852">
        <v>6</v>
      </c>
    </row>
    <row r="11" spans="1:14" ht="7.5" customHeight="1">
      <c r="B11" s="56"/>
      <c r="C11" s="56" t="s">
        <v>567</v>
      </c>
      <c r="D11" s="56">
        <v>-4</v>
      </c>
      <c r="E11" s="56">
        <v>4</v>
      </c>
      <c r="J11" s="625"/>
      <c r="K11" t="s">
        <v>566</v>
      </c>
      <c r="L11">
        <v>-6</v>
      </c>
      <c r="M11" s="852">
        <v>3</v>
      </c>
    </row>
    <row r="12" spans="1:14" ht="7.5" customHeight="1">
      <c r="B12" s="56"/>
      <c r="C12" s="56" t="s">
        <v>568</v>
      </c>
      <c r="D12" s="56">
        <v>-5</v>
      </c>
      <c r="E12" s="56">
        <v>4</v>
      </c>
      <c r="J12" s="625"/>
      <c r="K12" t="s">
        <v>567</v>
      </c>
      <c r="L12">
        <v>-10</v>
      </c>
      <c r="M12" s="852">
        <v>1</v>
      </c>
    </row>
    <row r="13" spans="1:14" ht="12">
      <c r="B13" s="56"/>
      <c r="C13" s="56" t="s">
        <v>569</v>
      </c>
      <c r="D13" s="56">
        <v>-4</v>
      </c>
      <c r="E13" s="56">
        <v>1</v>
      </c>
      <c r="J13" s="625"/>
      <c r="K13" t="s">
        <v>568</v>
      </c>
      <c r="L13">
        <v>-8</v>
      </c>
      <c r="M13" s="852">
        <v>7</v>
      </c>
    </row>
    <row r="14" spans="1:14">
      <c r="C14" s="56" t="s">
        <v>570</v>
      </c>
      <c r="D14" s="56"/>
      <c r="E14" s="56"/>
      <c r="K14" t="s">
        <v>569</v>
      </c>
      <c r="L14">
        <v>-2</v>
      </c>
    </row>
    <row r="22" spans="8:16" ht="12.75">
      <c r="H22" s="316"/>
      <c r="I22" s="316"/>
      <c r="J22" s="316"/>
    </row>
    <row r="23" spans="8:16" ht="12" customHeight="1"/>
    <row r="24" spans="8:16" ht="12" customHeight="1"/>
    <row r="25" spans="8:16" ht="12" customHeight="1">
      <c r="P25" s="56"/>
    </row>
    <row r="26" spans="8:16" ht="12" customHeight="1">
      <c r="P26" s="56"/>
    </row>
    <row r="27" spans="8:16" ht="25.5" customHeight="1"/>
    <row r="28" spans="8:16" ht="12" customHeight="1"/>
    <row r="29" spans="8:16" ht="12" customHeight="1"/>
    <row r="30" spans="8:16" ht="12" customHeight="1"/>
    <row r="31" spans="8:16" ht="12" customHeight="1"/>
    <row r="32" spans="8:16" ht="12" customHeight="1"/>
    <row r="33" spans="6:16" ht="12" customHeight="1"/>
    <row r="34" spans="6:16">
      <c r="O34" s="145"/>
      <c r="P34" s="56"/>
    </row>
    <row r="35" spans="6:16">
      <c r="O35" s="145"/>
      <c r="P35" s="56"/>
    </row>
    <row r="36" spans="6:16">
      <c r="O36" s="145"/>
    </row>
    <row r="47" spans="6:16">
      <c r="F47" s="650"/>
    </row>
    <row r="49" spans="1:23">
      <c r="A49" s="282"/>
      <c r="B49" s="56"/>
      <c r="C49" s="56"/>
      <c r="D49" s="56"/>
      <c r="E49" s="56"/>
      <c r="F49" s="56"/>
      <c r="G49" s="56"/>
      <c r="Q49"/>
      <c r="R49"/>
      <c r="S49"/>
      <c r="T49"/>
      <c r="U49"/>
      <c r="V49"/>
      <c r="W49"/>
    </row>
    <row r="50" spans="1:23">
      <c r="A50" s="56"/>
      <c r="B50" s="56"/>
      <c r="C50" s="56"/>
      <c r="D50" s="56"/>
      <c r="E50" s="56"/>
      <c r="F50" s="56"/>
      <c r="G50" s="56"/>
      <c r="Q50"/>
      <c r="R50"/>
      <c r="S50"/>
      <c r="T50"/>
      <c r="U50"/>
      <c r="V50"/>
      <c r="W50"/>
    </row>
    <row r="51" spans="1:23">
      <c r="A51" s="56"/>
      <c r="B51" s="56"/>
      <c r="C51" s="56"/>
      <c r="D51" s="56"/>
      <c r="E51" s="56"/>
      <c r="F51" s="56"/>
      <c r="G51" s="56"/>
      <c r="Q51"/>
      <c r="R51"/>
      <c r="S51"/>
      <c r="T51"/>
      <c r="U51"/>
      <c r="V51"/>
      <c r="W51"/>
    </row>
    <row r="52" spans="1:23">
      <c r="A52" s="56"/>
      <c r="B52" s="56"/>
      <c r="C52" s="56"/>
      <c r="D52" s="56"/>
      <c r="E52" s="56"/>
      <c r="F52" s="56"/>
      <c r="G52" s="56"/>
      <c r="Q52"/>
      <c r="R52"/>
      <c r="S52"/>
      <c r="T52"/>
      <c r="U52"/>
      <c r="V52"/>
      <c r="W52"/>
    </row>
    <row r="53" spans="1:23">
      <c r="A53" s="56"/>
      <c r="B53" s="56"/>
      <c r="C53" s="56"/>
      <c r="D53" s="56"/>
      <c r="E53" s="56"/>
      <c r="F53" s="56"/>
      <c r="G53" s="56"/>
      <c r="Q53"/>
      <c r="R53"/>
      <c r="S53"/>
      <c r="T53"/>
      <c r="U53"/>
      <c r="V53"/>
      <c r="W53"/>
    </row>
    <row r="54" spans="1:23">
      <c r="A54" s="56"/>
      <c r="B54" s="56"/>
      <c r="C54" s="56"/>
      <c r="D54" s="56"/>
      <c r="E54" s="56"/>
      <c r="F54" s="56"/>
      <c r="G54" s="56"/>
      <c r="Q54"/>
      <c r="R54"/>
      <c r="S54"/>
      <c r="T54"/>
      <c r="U54"/>
      <c r="V54"/>
      <c r="W54"/>
    </row>
    <row r="55" spans="1:23">
      <c r="A55" s="56"/>
      <c r="B55" s="56"/>
      <c r="C55" s="56"/>
      <c r="D55" s="56"/>
      <c r="E55" s="56"/>
      <c r="F55" s="56"/>
      <c r="G55" s="56"/>
      <c r="Q55"/>
      <c r="R55"/>
      <c r="S55"/>
      <c r="T55"/>
      <c r="U55"/>
      <c r="V55"/>
      <c r="W55"/>
    </row>
    <row r="56" spans="1:23">
      <c r="A56" s="56"/>
      <c r="B56" s="56"/>
      <c r="C56" s="56"/>
      <c r="D56" s="56"/>
      <c r="E56" s="56"/>
      <c r="F56" s="56"/>
      <c r="G56" s="56"/>
      <c r="Q56"/>
      <c r="R56"/>
      <c r="S56"/>
      <c r="T56"/>
      <c r="U56"/>
      <c r="V56"/>
      <c r="W56"/>
    </row>
    <row r="57" spans="1:23">
      <c r="A57" s="56"/>
      <c r="B57" s="56"/>
      <c r="C57" s="56"/>
      <c r="D57" s="56"/>
      <c r="E57" s="56"/>
      <c r="F57" s="56"/>
      <c r="G57" s="56"/>
      <c r="Q57"/>
      <c r="R57"/>
      <c r="S57"/>
      <c r="T57"/>
      <c r="U57"/>
      <c r="V57"/>
      <c r="W57"/>
    </row>
    <row r="58" spans="1:23">
      <c r="A58" s="56"/>
      <c r="B58" s="56"/>
      <c r="C58" s="56"/>
      <c r="D58" s="56"/>
      <c r="E58" s="56"/>
      <c r="F58" s="56"/>
      <c r="G58" s="56"/>
      <c r="Q58"/>
      <c r="R58"/>
      <c r="S58"/>
      <c r="T58"/>
      <c r="U58"/>
      <c r="V58"/>
      <c r="W58"/>
    </row>
    <row r="59" spans="1:23">
      <c r="A59" s="56"/>
      <c r="B59" s="56"/>
      <c r="C59" s="56"/>
      <c r="D59" s="56"/>
      <c r="E59" s="56"/>
      <c r="F59" s="56"/>
      <c r="G59" s="56"/>
      <c r="Q59"/>
      <c r="R59"/>
      <c r="S59"/>
      <c r="T59"/>
      <c r="U59"/>
      <c r="V59"/>
      <c r="W59"/>
    </row>
    <row r="60" spans="1:23">
      <c r="A60" s="56"/>
      <c r="B60" s="56"/>
      <c r="C60" s="56"/>
      <c r="D60" s="56"/>
      <c r="E60" s="56"/>
      <c r="F60" s="56"/>
      <c r="G60" s="56"/>
      <c r="Q60"/>
      <c r="R60"/>
      <c r="S60"/>
      <c r="T60"/>
      <c r="U60"/>
      <c r="V60"/>
      <c r="W60"/>
    </row>
    <row r="61" spans="1:23">
      <c r="A61" s="56"/>
      <c r="B61" s="56"/>
      <c r="C61" s="56"/>
      <c r="D61" s="56"/>
      <c r="E61" s="56"/>
      <c r="F61" s="56"/>
      <c r="G61" s="56"/>
      <c r="Q61"/>
      <c r="R61"/>
      <c r="S61"/>
      <c r="T61"/>
      <c r="U61"/>
      <c r="V61"/>
      <c r="W61"/>
    </row>
    <row r="62" spans="1:23">
      <c r="A62" s="56"/>
      <c r="B62" s="56"/>
      <c r="C62" s="56"/>
      <c r="D62" s="56"/>
      <c r="E62" s="56"/>
      <c r="F62" s="56"/>
      <c r="G62" s="56"/>
      <c r="Q62"/>
      <c r="R62"/>
      <c r="S62"/>
      <c r="T62"/>
      <c r="U62"/>
      <c r="V62"/>
      <c r="W62"/>
    </row>
    <row r="63" spans="1:23">
      <c r="A63" s="56"/>
      <c r="B63" s="56"/>
      <c r="C63" s="56"/>
      <c r="D63" s="56"/>
      <c r="E63" s="56"/>
      <c r="F63" s="56"/>
      <c r="G63" s="56"/>
      <c r="Q63"/>
      <c r="R63"/>
      <c r="S63"/>
      <c r="T63"/>
      <c r="U63"/>
      <c r="V63"/>
      <c r="W63"/>
    </row>
    <row r="64" spans="1:23">
      <c r="A64" s="56"/>
      <c r="B64" s="56"/>
      <c r="C64" s="56"/>
      <c r="D64" s="56"/>
      <c r="E64" s="56"/>
      <c r="F64" s="56"/>
      <c r="G64" s="56"/>
      <c r="Q64"/>
      <c r="R64"/>
      <c r="S64"/>
      <c r="T64"/>
      <c r="U64"/>
      <c r="V64"/>
      <c r="W64"/>
    </row>
    <row r="65" spans="1:23">
      <c r="A65" s="56"/>
      <c r="B65" s="56"/>
      <c r="C65" s="56"/>
      <c r="D65" s="56"/>
      <c r="E65" s="56"/>
      <c r="F65" s="56"/>
      <c r="G65" s="56"/>
      <c r="Q65"/>
      <c r="R65"/>
      <c r="S65"/>
      <c r="T65"/>
      <c r="U65"/>
      <c r="V65"/>
      <c r="W65"/>
    </row>
    <row r="66" spans="1:23">
      <c r="A66" s="56"/>
      <c r="B66" s="56"/>
      <c r="C66" s="56"/>
      <c r="D66" s="56"/>
      <c r="E66" s="56"/>
      <c r="F66" s="56"/>
      <c r="G66" s="56"/>
      <c r="Q66"/>
      <c r="R66"/>
      <c r="S66"/>
      <c r="T66"/>
      <c r="U66"/>
      <c r="V66"/>
      <c r="W66"/>
    </row>
    <row r="67" spans="1:23">
      <c r="A67" s="56"/>
      <c r="B67" s="56"/>
      <c r="C67" s="56"/>
      <c r="D67" s="56"/>
      <c r="E67" s="56"/>
      <c r="F67" s="56"/>
      <c r="G67" s="56"/>
      <c r="Q67"/>
      <c r="R67"/>
      <c r="S67"/>
      <c r="T67"/>
      <c r="U67"/>
      <c r="V67"/>
      <c r="W67"/>
    </row>
    <row r="68" spans="1:23">
      <c r="A68" s="56"/>
      <c r="B68" s="56"/>
      <c r="C68" s="56"/>
      <c r="D68" s="56"/>
      <c r="E68" s="56"/>
      <c r="F68" s="56"/>
      <c r="G68" s="56"/>
      <c r="Q68"/>
      <c r="R68"/>
      <c r="S68"/>
      <c r="T68"/>
      <c r="U68"/>
      <c r="V68"/>
      <c r="W68"/>
    </row>
    <row r="69" spans="1:23">
      <c r="A69" s="56"/>
      <c r="B69" s="56"/>
      <c r="C69" s="56"/>
      <c r="D69" s="56"/>
      <c r="E69" s="56"/>
      <c r="F69" s="56"/>
      <c r="G69" s="56"/>
      <c r="Q69"/>
      <c r="R69"/>
      <c r="S69"/>
      <c r="T69"/>
      <c r="U69"/>
      <c r="V69"/>
      <c r="W69"/>
    </row>
    <row r="70" spans="1:23">
      <c r="A70" s="56"/>
      <c r="B70" s="56"/>
      <c r="C70" s="56"/>
      <c r="D70" s="56"/>
      <c r="E70" s="56"/>
      <c r="F70" s="56"/>
      <c r="G70" s="56"/>
      <c r="Q70"/>
      <c r="R70"/>
      <c r="S70"/>
      <c r="T70"/>
      <c r="U70"/>
      <c r="V70"/>
      <c r="W70"/>
    </row>
    <row r="71" spans="1:23">
      <c r="A71" s="56"/>
      <c r="B71" s="56"/>
      <c r="C71" s="56"/>
      <c r="D71" s="56"/>
      <c r="E71" s="56"/>
      <c r="F71" s="56"/>
      <c r="G71" s="56"/>
      <c r="Q71"/>
      <c r="R71"/>
      <c r="S71"/>
      <c r="T71"/>
      <c r="U71"/>
      <c r="V71"/>
      <c r="W71"/>
    </row>
    <row r="72" spans="1:23">
      <c r="A72" s="56"/>
      <c r="B72" s="56"/>
      <c r="C72" s="56"/>
      <c r="D72" s="56"/>
      <c r="E72" s="56"/>
      <c r="F72" s="56"/>
      <c r="G72" s="56"/>
      <c r="Q72"/>
      <c r="R72"/>
      <c r="S72"/>
      <c r="T72"/>
      <c r="U72"/>
      <c r="V72"/>
      <c r="W72"/>
    </row>
    <row r="73" spans="1:23">
      <c r="A73" s="56"/>
      <c r="B73" s="56"/>
      <c r="C73" s="56"/>
      <c r="D73" s="56"/>
      <c r="E73" s="56"/>
      <c r="F73" s="56"/>
      <c r="G73" s="56"/>
      <c r="Q73"/>
      <c r="R73"/>
      <c r="S73"/>
      <c r="T73"/>
      <c r="U73"/>
      <c r="V73"/>
      <c r="W73"/>
    </row>
    <row r="74" spans="1:23">
      <c r="A74" s="56"/>
      <c r="B74" s="56"/>
      <c r="C74" s="56"/>
      <c r="D74" s="56"/>
      <c r="E74" s="56"/>
      <c r="F74" s="56"/>
      <c r="G74" s="56"/>
      <c r="Q74"/>
      <c r="R74"/>
      <c r="S74"/>
      <c r="T74"/>
      <c r="U74"/>
      <c r="V74"/>
      <c r="W74"/>
    </row>
    <row r="75" spans="1:23">
      <c r="A75" s="56"/>
      <c r="B75" s="56"/>
      <c r="C75" s="56"/>
      <c r="D75" s="56"/>
      <c r="E75" s="56"/>
      <c r="F75" s="56"/>
      <c r="G75" s="56"/>
      <c r="Q75"/>
      <c r="R75"/>
      <c r="S75"/>
      <c r="T75"/>
      <c r="U75"/>
      <c r="V75"/>
      <c r="W75"/>
    </row>
    <row r="76" spans="1:23">
      <c r="A76" s="56"/>
      <c r="B76" s="56"/>
      <c r="C76" s="56"/>
      <c r="D76" s="56"/>
      <c r="E76" s="56"/>
      <c r="F76" s="56"/>
      <c r="G76" s="56"/>
      <c r="Q76"/>
      <c r="R76"/>
      <c r="S76"/>
      <c r="T76"/>
      <c r="U76"/>
      <c r="V76"/>
      <c r="W76"/>
    </row>
    <row r="77" spans="1:23">
      <c r="A77" s="56"/>
      <c r="B77" s="56"/>
      <c r="C77" s="56"/>
      <c r="D77" s="56"/>
      <c r="E77" s="56"/>
      <c r="F77" s="56"/>
      <c r="G77" s="56"/>
      <c r="Q77"/>
      <c r="R77"/>
      <c r="S77"/>
      <c r="T77"/>
      <c r="U77"/>
      <c r="V77"/>
      <c r="W77"/>
    </row>
    <row r="78" spans="1:23">
      <c r="A78" s="56"/>
      <c r="B78" s="56"/>
      <c r="C78" s="56"/>
      <c r="D78" s="56"/>
      <c r="E78" s="56"/>
      <c r="F78" s="56"/>
      <c r="G78" s="56"/>
      <c r="Q78"/>
      <c r="R78"/>
      <c r="S78"/>
      <c r="T78"/>
      <c r="U78"/>
      <c r="V78"/>
      <c r="W78"/>
    </row>
    <row r="79" spans="1:23">
      <c r="A79" s="56"/>
      <c r="B79" s="56"/>
      <c r="C79" s="56"/>
      <c r="D79" s="56"/>
      <c r="E79" s="56"/>
      <c r="F79" s="56"/>
      <c r="G79" s="56"/>
      <c r="Q79"/>
      <c r="R79"/>
      <c r="S79"/>
      <c r="T79"/>
      <c r="U79"/>
      <c r="V79"/>
      <c r="W79"/>
    </row>
    <row r="80" spans="1:23">
      <c r="A80" s="56"/>
      <c r="B80" s="56"/>
      <c r="C80" s="56"/>
      <c r="D80" s="56"/>
      <c r="E80" s="56"/>
      <c r="F80" s="56"/>
      <c r="G80" s="56"/>
      <c r="Q80"/>
      <c r="R80"/>
      <c r="S80"/>
      <c r="T80"/>
      <c r="U80"/>
      <c r="V80"/>
      <c r="W80"/>
    </row>
    <row r="81" spans="1:23">
      <c r="A81" s="56"/>
      <c r="B81" s="56"/>
      <c r="C81" s="56"/>
      <c r="D81" s="56"/>
      <c r="E81" s="56"/>
      <c r="F81" s="56"/>
      <c r="G81" s="56"/>
      <c r="Q81"/>
      <c r="R81"/>
      <c r="S81"/>
      <c r="T81"/>
      <c r="U81"/>
      <c r="V81"/>
      <c r="W81"/>
    </row>
    <row r="82" spans="1:23">
      <c r="A82" s="56"/>
      <c r="B82" s="56"/>
      <c r="C82" s="56"/>
      <c r="D82" s="56"/>
      <c r="E82" s="56"/>
      <c r="F82" s="56"/>
      <c r="G82" s="56"/>
      <c r="Q82"/>
      <c r="R82"/>
      <c r="S82"/>
      <c r="T82"/>
      <c r="U82"/>
      <c r="V82"/>
      <c r="W82"/>
    </row>
    <row r="83" spans="1:23">
      <c r="A83" s="56"/>
      <c r="B83" s="56"/>
      <c r="C83" s="56"/>
      <c r="D83" s="56"/>
      <c r="E83" s="56"/>
      <c r="F83" s="56"/>
      <c r="G83" s="56"/>
      <c r="Q83"/>
      <c r="R83"/>
      <c r="S83"/>
      <c r="T83"/>
      <c r="U83"/>
      <c r="V83"/>
      <c r="W83"/>
    </row>
    <row r="84" spans="1:23">
      <c r="A84" s="56"/>
      <c r="B84" s="56"/>
      <c r="C84" s="56"/>
      <c r="D84" s="56"/>
      <c r="E84" s="56"/>
      <c r="F84" s="56"/>
      <c r="G84" s="56"/>
      <c r="Q84"/>
      <c r="R84"/>
      <c r="S84"/>
      <c r="T84"/>
      <c r="U84"/>
      <c r="V84"/>
      <c r="W84"/>
    </row>
    <row r="85" spans="1:23">
      <c r="A85" s="56"/>
      <c r="B85" s="56"/>
      <c r="C85" s="56"/>
      <c r="D85" s="56"/>
      <c r="E85" s="56"/>
      <c r="F85" s="56"/>
      <c r="G85" s="56"/>
      <c r="Q85"/>
      <c r="R85"/>
      <c r="S85"/>
      <c r="T85"/>
      <c r="U85"/>
      <c r="V85"/>
      <c r="W85"/>
    </row>
    <row r="86" spans="1:23">
      <c r="A86" s="56"/>
      <c r="B86" s="56"/>
      <c r="C86" s="56"/>
      <c r="D86" s="56"/>
      <c r="E86" s="56"/>
      <c r="F86" s="56"/>
      <c r="G86" s="56"/>
      <c r="Q86"/>
      <c r="R86"/>
      <c r="S86"/>
      <c r="T86"/>
      <c r="U86"/>
      <c r="V86"/>
      <c r="W86"/>
    </row>
    <row r="87" spans="1:23">
      <c r="A87" s="56"/>
      <c r="B87" s="56"/>
      <c r="C87" s="56"/>
      <c r="D87" s="56"/>
      <c r="E87" s="56"/>
      <c r="F87" s="56"/>
      <c r="G87" s="56"/>
      <c r="Q87"/>
      <c r="R87"/>
      <c r="S87"/>
      <c r="T87"/>
      <c r="U87"/>
      <c r="V87"/>
      <c r="W87"/>
    </row>
    <row r="88" spans="1:23">
      <c r="A88" s="56"/>
      <c r="B88" s="56"/>
      <c r="C88" s="56"/>
      <c r="D88" s="56"/>
      <c r="E88" s="56"/>
      <c r="F88" s="56"/>
      <c r="G88" s="56"/>
      <c r="Q88"/>
      <c r="R88"/>
      <c r="S88"/>
      <c r="T88"/>
      <c r="U88"/>
      <c r="V88"/>
      <c r="W88"/>
    </row>
    <row r="89" spans="1:23">
      <c r="A89" s="56"/>
      <c r="B89" s="56"/>
      <c r="C89" s="56"/>
      <c r="D89" s="56"/>
      <c r="E89" s="56"/>
      <c r="F89" s="56"/>
      <c r="G89" s="56"/>
      <c r="Q89"/>
      <c r="R89"/>
      <c r="S89"/>
      <c r="T89"/>
      <c r="U89"/>
      <c r="V89"/>
      <c r="W89"/>
    </row>
    <row r="90" spans="1:23">
      <c r="A90" s="56"/>
      <c r="B90" s="56"/>
      <c r="C90" s="56"/>
      <c r="D90" s="56"/>
      <c r="E90" s="56"/>
      <c r="F90" s="56"/>
      <c r="G90" s="56"/>
      <c r="Q90"/>
      <c r="R90"/>
      <c r="S90"/>
      <c r="T90"/>
      <c r="U90"/>
      <c r="V90"/>
      <c r="W90"/>
    </row>
    <row r="91" spans="1:23">
      <c r="A91" s="56"/>
      <c r="B91" s="56"/>
      <c r="C91" s="56"/>
      <c r="D91" s="56"/>
      <c r="E91" s="56"/>
      <c r="F91" s="56"/>
      <c r="G91" s="56"/>
      <c r="Q91"/>
      <c r="R91"/>
      <c r="S91"/>
      <c r="T91"/>
      <c r="U91"/>
      <c r="V91"/>
      <c r="W91"/>
    </row>
    <row r="92" spans="1:23">
      <c r="A92" s="56"/>
      <c r="B92" s="56"/>
      <c r="C92" s="56"/>
      <c r="D92" s="56"/>
      <c r="E92" s="56"/>
      <c r="F92" s="56"/>
      <c r="G92" s="56"/>
      <c r="Q92"/>
      <c r="R92"/>
      <c r="S92"/>
      <c r="T92"/>
      <c r="U92"/>
      <c r="V92"/>
      <c r="W92"/>
    </row>
    <row r="93" spans="1:23">
      <c r="A93" s="56"/>
      <c r="B93" s="56"/>
      <c r="C93" s="56"/>
      <c r="D93" s="56"/>
      <c r="E93" s="56"/>
      <c r="F93" s="56"/>
      <c r="G93" s="56"/>
      <c r="Q93"/>
      <c r="R93"/>
      <c r="S93"/>
      <c r="T93"/>
      <c r="U93"/>
      <c r="V93"/>
      <c r="W93"/>
    </row>
    <row r="94" spans="1:23">
      <c r="A94" s="56"/>
      <c r="B94" s="56"/>
      <c r="C94" s="56"/>
      <c r="D94" s="56"/>
      <c r="E94" s="56"/>
      <c r="F94" s="56"/>
      <c r="G94" s="56"/>
      <c r="Q94"/>
      <c r="R94"/>
      <c r="S94"/>
      <c r="T94"/>
      <c r="U94"/>
      <c r="V94"/>
      <c r="W94"/>
    </row>
    <row r="95" spans="1:23">
      <c r="A95" s="56"/>
      <c r="B95" s="56"/>
      <c r="C95" s="56"/>
      <c r="D95" s="56"/>
      <c r="E95" s="56"/>
      <c r="F95" s="56"/>
      <c r="G95" s="56"/>
      <c r="Q95"/>
      <c r="R95"/>
      <c r="S95"/>
      <c r="T95"/>
      <c r="U95"/>
      <c r="V95"/>
      <c r="W95"/>
    </row>
    <row r="96" spans="1:23">
      <c r="A96" s="56"/>
      <c r="B96" s="56"/>
      <c r="C96" s="56"/>
      <c r="D96" s="56"/>
      <c r="E96" s="56"/>
      <c r="F96" s="56"/>
      <c r="G96" s="56"/>
      <c r="Q96"/>
      <c r="R96"/>
      <c r="S96"/>
      <c r="T96"/>
      <c r="U96"/>
      <c r="V96"/>
      <c r="W96"/>
    </row>
    <row r="97" spans="1:23">
      <c r="A97" s="56"/>
      <c r="B97" s="56"/>
      <c r="C97" s="56"/>
      <c r="D97" s="56"/>
      <c r="E97" s="56"/>
      <c r="F97" s="56"/>
      <c r="G97" s="56"/>
      <c r="Q97"/>
      <c r="R97"/>
      <c r="S97"/>
      <c r="T97"/>
      <c r="U97"/>
      <c r="V97"/>
      <c r="W97"/>
    </row>
    <row r="98" spans="1:23">
      <c r="A98" s="56"/>
      <c r="B98" s="56"/>
      <c r="C98" s="56"/>
      <c r="D98" s="56"/>
      <c r="E98" s="56"/>
      <c r="F98" s="56"/>
      <c r="G98" s="56"/>
      <c r="Q98"/>
      <c r="R98"/>
      <c r="S98"/>
      <c r="T98"/>
      <c r="U98"/>
      <c r="V98"/>
      <c r="W98"/>
    </row>
    <row r="99" spans="1:23">
      <c r="A99" s="56"/>
      <c r="B99" s="56"/>
      <c r="C99" s="56"/>
      <c r="D99" s="56"/>
      <c r="E99" s="56"/>
      <c r="F99" s="56"/>
      <c r="G99" s="56"/>
      <c r="Q99"/>
      <c r="R99"/>
      <c r="S99"/>
      <c r="T99"/>
      <c r="U99"/>
      <c r="V99"/>
      <c r="W99"/>
    </row>
    <row r="100" spans="1:23">
      <c r="A100" s="56"/>
      <c r="B100" s="56"/>
      <c r="C100" s="56"/>
      <c r="D100" s="56"/>
      <c r="E100" s="56"/>
      <c r="F100" s="56"/>
      <c r="G100" s="56"/>
      <c r="Q100"/>
      <c r="R100"/>
      <c r="S100"/>
      <c r="T100"/>
      <c r="U100"/>
      <c r="V100"/>
      <c r="W100"/>
    </row>
    <row r="101" spans="1:23">
      <c r="A101" s="56"/>
      <c r="B101" s="56"/>
      <c r="C101" s="56"/>
      <c r="D101" s="56"/>
      <c r="E101" s="56"/>
      <c r="F101" s="56"/>
      <c r="G101" s="56"/>
      <c r="Q101"/>
      <c r="R101"/>
      <c r="S101"/>
      <c r="T101"/>
      <c r="U101"/>
      <c r="V101"/>
      <c r="W101"/>
    </row>
    <row r="102" spans="1:23">
      <c r="A102" s="56"/>
      <c r="B102" s="56"/>
      <c r="C102" s="56"/>
      <c r="D102" s="56"/>
      <c r="E102" s="56"/>
      <c r="F102" s="56"/>
      <c r="G102" s="56"/>
      <c r="Q102"/>
      <c r="R102"/>
      <c r="S102"/>
      <c r="T102"/>
      <c r="U102"/>
      <c r="V102"/>
      <c r="W102"/>
    </row>
    <row r="103" spans="1:23">
      <c r="A103" s="56"/>
      <c r="B103" s="56"/>
      <c r="C103" s="56"/>
      <c r="D103" s="56"/>
      <c r="E103" s="56"/>
      <c r="F103" s="56"/>
      <c r="G103" s="56"/>
      <c r="Q103"/>
      <c r="R103"/>
      <c r="S103"/>
      <c r="T103"/>
      <c r="U103"/>
      <c r="V103"/>
      <c r="W103"/>
    </row>
    <row r="104" spans="1:23">
      <c r="A104" s="56"/>
      <c r="B104" s="56"/>
      <c r="C104" s="56"/>
      <c r="D104" s="56"/>
      <c r="E104" s="56"/>
      <c r="F104" s="56"/>
      <c r="G104" s="56"/>
      <c r="Q104"/>
      <c r="R104"/>
      <c r="S104"/>
      <c r="T104"/>
      <c r="U104"/>
      <c r="V104"/>
      <c r="W104"/>
    </row>
    <row r="105" spans="1:23">
      <c r="A105" s="56"/>
      <c r="B105" s="56"/>
      <c r="C105" s="56"/>
      <c r="D105" s="56"/>
      <c r="E105" s="56"/>
      <c r="F105" s="56"/>
      <c r="G105" s="56"/>
      <c r="Q105"/>
      <c r="R105"/>
      <c r="S105"/>
      <c r="T105"/>
      <c r="U105"/>
      <c r="V105"/>
      <c r="W105"/>
    </row>
    <row r="106" spans="1:23">
      <c r="A106" s="56"/>
      <c r="B106" s="56"/>
      <c r="C106" s="56"/>
      <c r="D106" s="56"/>
      <c r="E106" s="56"/>
      <c r="F106" s="56"/>
      <c r="G106" s="56"/>
      <c r="Q106"/>
      <c r="R106"/>
      <c r="S106"/>
      <c r="T106"/>
      <c r="U106"/>
      <c r="V106"/>
      <c r="W106"/>
    </row>
    <row r="107" spans="1:23">
      <c r="A107" s="56"/>
      <c r="B107" s="56"/>
      <c r="C107" s="56"/>
      <c r="D107" s="56"/>
      <c r="E107" s="56"/>
      <c r="F107" s="56"/>
      <c r="G107" s="56"/>
      <c r="Q107"/>
      <c r="R107"/>
      <c r="S107"/>
      <c r="T107"/>
      <c r="U107"/>
      <c r="V107"/>
      <c r="W107"/>
    </row>
    <row r="108" spans="1:23">
      <c r="A108" s="56"/>
      <c r="B108" s="56"/>
      <c r="C108" s="56"/>
      <c r="D108" s="56"/>
      <c r="E108" s="56"/>
      <c r="F108" s="56"/>
      <c r="G108" s="56"/>
      <c r="Q108"/>
      <c r="R108"/>
      <c r="S108"/>
      <c r="T108"/>
      <c r="U108"/>
      <c r="V108"/>
      <c r="W108"/>
    </row>
    <row r="109" spans="1:23">
      <c r="A109" s="56"/>
      <c r="B109" s="56"/>
      <c r="C109" s="56"/>
      <c r="D109" s="56"/>
      <c r="E109" s="56"/>
      <c r="F109" s="56"/>
      <c r="G109" s="56"/>
      <c r="Q109"/>
      <c r="R109"/>
      <c r="S109"/>
      <c r="T109"/>
      <c r="U109"/>
      <c r="V109"/>
      <c r="W109"/>
    </row>
    <row r="110" spans="1:23">
      <c r="A110" s="56"/>
      <c r="B110" s="56"/>
      <c r="C110" s="56"/>
      <c r="D110" s="56"/>
      <c r="E110" s="56"/>
      <c r="F110" s="56"/>
      <c r="G110" s="56"/>
      <c r="Q110"/>
      <c r="R110"/>
      <c r="S110"/>
      <c r="T110"/>
      <c r="U110"/>
      <c r="V110"/>
      <c r="W110"/>
    </row>
    <row r="111" spans="1:23">
      <c r="A111" s="56"/>
      <c r="B111" s="56"/>
      <c r="C111" s="56"/>
      <c r="D111" s="56"/>
      <c r="E111" s="56"/>
      <c r="F111" s="56"/>
      <c r="G111" s="56"/>
      <c r="Q111"/>
      <c r="R111"/>
      <c r="S111"/>
      <c r="T111"/>
      <c r="U111"/>
      <c r="V111"/>
      <c r="W111"/>
    </row>
    <row r="112" spans="1:23">
      <c r="A112" s="56"/>
      <c r="B112" s="56"/>
      <c r="C112" s="56"/>
      <c r="D112" s="56"/>
      <c r="E112" s="56"/>
      <c r="F112" s="56"/>
      <c r="G112" s="56"/>
      <c r="Q112"/>
      <c r="R112"/>
      <c r="S112"/>
      <c r="T112"/>
      <c r="U112"/>
      <c r="V112"/>
      <c r="W112"/>
    </row>
    <row r="113" spans="1:23">
      <c r="A113" s="56"/>
      <c r="B113" s="56"/>
      <c r="C113" s="56"/>
      <c r="D113" s="56"/>
      <c r="E113" s="56"/>
      <c r="F113" s="56"/>
      <c r="G113" s="56"/>
      <c r="Q113"/>
      <c r="R113"/>
      <c r="S113"/>
      <c r="T113"/>
      <c r="U113"/>
      <c r="V113"/>
      <c r="W113"/>
    </row>
    <row r="114" spans="1:23">
      <c r="A114" s="56"/>
      <c r="B114" s="56"/>
      <c r="C114" s="56"/>
      <c r="D114" s="56"/>
      <c r="E114" s="56"/>
      <c r="F114" s="56"/>
      <c r="G114" s="56"/>
      <c r="Q114"/>
      <c r="R114"/>
      <c r="S114"/>
      <c r="T114"/>
      <c r="U114"/>
      <c r="V114"/>
      <c r="W114"/>
    </row>
    <row r="115" spans="1:23">
      <c r="A115" s="56"/>
      <c r="B115" s="56"/>
      <c r="C115" s="56"/>
      <c r="D115" s="56"/>
      <c r="E115" s="56"/>
      <c r="F115" s="56"/>
      <c r="G115" s="56"/>
      <c r="Q115"/>
      <c r="R115"/>
      <c r="S115"/>
      <c r="T115"/>
      <c r="U115"/>
      <c r="V115"/>
      <c r="W115"/>
    </row>
    <row r="116" spans="1:23">
      <c r="A116" s="56"/>
      <c r="B116" s="56"/>
      <c r="C116" s="56"/>
      <c r="D116" s="56"/>
      <c r="E116" s="56"/>
      <c r="F116" s="56"/>
      <c r="G116" s="56"/>
      <c r="Q116"/>
      <c r="R116"/>
      <c r="S116"/>
      <c r="T116"/>
      <c r="U116"/>
      <c r="V116"/>
      <c r="W116"/>
    </row>
    <row r="117" spans="1:23">
      <c r="A117" s="56"/>
      <c r="B117" s="56"/>
      <c r="C117" s="56"/>
      <c r="D117" s="56"/>
      <c r="E117" s="56"/>
      <c r="F117" s="56"/>
      <c r="G117" s="56"/>
      <c r="Q117"/>
      <c r="R117"/>
      <c r="S117"/>
      <c r="T117"/>
      <c r="U117"/>
      <c r="V117"/>
      <c r="W117"/>
    </row>
    <row r="118" spans="1:23">
      <c r="A118" s="56"/>
      <c r="B118" s="56"/>
      <c r="C118" s="56"/>
      <c r="D118" s="56"/>
      <c r="E118" s="56"/>
      <c r="F118" s="56"/>
      <c r="G118" s="56"/>
      <c r="Q118"/>
      <c r="R118"/>
      <c r="S118"/>
      <c r="T118"/>
      <c r="U118"/>
      <c r="V118"/>
      <c r="W118"/>
    </row>
    <row r="119" spans="1:23">
      <c r="A119" s="56"/>
      <c r="B119" s="56"/>
      <c r="C119" s="56"/>
      <c r="D119" s="56"/>
      <c r="E119" s="56"/>
      <c r="F119" s="56"/>
      <c r="G119" s="56"/>
      <c r="Q119"/>
      <c r="R119"/>
      <c r="S119"/>
      <c r="T119"/>
      <c r="U119"/>
      <c r="V119"/>
      <c r="W119"/>
    </row>
    <row r="120" spans="1:23">
      <c r="A120" s="56"/>
      <c r="B120" s="56"/>
      <c r="C120" s="56"/>
      <c r="D120" s="56"/>
      <c r="E120" s="56"/>
      <c r="F120" s="56"/>
      <c r="G120" s="56"/>
      <c r="Q120"/>
      <c r="R120"/>
      <c r="S120"/>
      <c r="T120"/>
      <c r="U120"/>
      <c r="V120"/>
      <c r="W120"/>
    </row>
    <row r="121" spans="1:23">
      <c r="A121" s="56"/>
      <c r="B121" s="56"/>
      <c r="C121" s="56"/>
      <c r="D121" s="56"/>
      <c r="E121" s="56"/>
      <c r="F121" s="56"/>
      <c r="G121" s="56"/>
      <c r="Q121"/>
      <c r="R121"/>
      <c r="S121"/>
      <c r="T121"/>
      <c r="U121"/>
      <c r="V121"/>
      <c r="W121"/>
    </row>
    <row r="122" spans="1:23">
      <c r="A122" s="56"/>
      <c r="B122" s="56"/>
      <c r="C122" s="56"/>
      <c r="D122" s="56"/>
      <c r="E122" s="56"/>
      <c r="F122" s="56"/>
      <c r="G122" s="56"/>
      <c r="Q122"/>
      <c r="R122"/>
      <c r="S122"/>
      <c r="T122"/>
      <c r="U122"/>
      <c r="V122"/>
      <c r="W122"/>
    </row>
    <row r="123" spans="1:23">
      <c r="A123" s="56"/>
      <c r="B123" s="56"/>
      <c r="C123" s="56"/>
      <c r="D123" s="56"/>
      <c r="E123" s="56"/>
      <c r="F123" s="56"/>
      <c r="G123" s="56"/>
      <c r="Q123"/>
      <c r="R123"/>
      <c r="S123"/>
      <c r="T123"/>
      <c r="U123"/>
      <c r="V123"/>
      <c r="W123"/>
    </row>
    <row r="124" spans="1:23">
      <c r="A124" s="56"/>
      <c r="B124" s="56"/>
      <c r="C124" s="56"/>
      <c r="D124" s="56"/>
      <c r="E124" s="56"/>
      <c r="F124" s="56"/>
      <c r="G124" s="56"/>
      <c r="Q124"/>
      <c r="R124"/>
      <c r="S124"/>
      <c r="T124"/>
      <c r="U124"/>
      <c r="V124"/>
      <c r="W124"/>
    </row>
    <row r="125" spans="1:23">
      <c r="A125" s="56"/>
      <c r="B125" s="56"/>
      <c r="C125" s="56"/>
      <c r="D125" s="56"/>
      <c r="E125" s="56"/>
      <c r="F125" s="56"/>
      <c r="G125" s="56"/>
      <c r="Q125"/>
      <c r="R125"/>
      <c r="S125"/>
      <c r="T125"/>
      <c r="U125"/>
      <c r="V125"/>
      <c r="W125"/>
    </row>
    <row r="126" spans="1:23">
      <c r="A126" s="56"/>
      <c r="B126" s="56"/>
      <c r="C126" s="56"/>
      <c r="D126" s="56"/>
      <c r="E126" s="56"/>
      <c r="F126" s="56"/>
      <c r="G126" s="56"/>
      <c r="Q126"/>
      <c r="R126"/>
      <c r="S126"/>
      <c r="T126"/>
      <c r="U126"/>
      <c r="V126"/>
      <c r="W126"/>
    </row>
    <row r="127" spans="1:23">
      <c r="A127" s="56"/>
      <c r="B127" s="56"/>
      <c r="C127" s="56"/>
      <c r="D127" s="56"/>
      <c r="E127" s="56"/>
      <c r="F127" s="56"/>
      <c r="G127" s="56"/>
      <c r="Q127"/>
      <c r="R127"/>
      <c r="S127"/>
      <c r="T127"/>
      <c r="U127"/>
      <c r="V127"/>
      <c r="W127"/>
    </row>
    <row r="128" spans="1:23">
      <c r="A128" s="56"/>
      <c r="B128" s="56"/>
      <c r="C128" s="56"/>
      <c r="D128" s="56"/>
      <c r="E128" s="56"/>
      <c r="F128" s="56"/>
      <c r="G128" s="56"/>
      <c r="Q128"/>
      <c r="R128"/>
      <c r="S128"/>
      <c r="T128"/>
      <c r="U128"/>
      <c r="V128"/>
      <c r="W128"/>
    </row>
    <row r="129" spans="1:23">
      <c r="A129" s="56"/>
      <c r="B129" s="56"/>
      <c r="C129" s="56"/>
      <c r="D129" s="56"/>
      <c r="E129" s="56"/>
      <c r="F129" s="56"/>
      <c r="G129" s="56"/>
      <c r="Q129"/>
      <c r="R129"/>
      <c r="S129"/>
      <c r="T129"/>
      <c r="U129"/>
      <c r="V129"/>
      <c r="W129"/>
    </row>
    <row r="130" spans="1:23">
      <c r="A130" s="56"/>
      <c r="B130" s="56"/>
      <c r="C130" s="56"/>
      <c r="D130" s="56"/>
      <c r="E130" s="56"/>
      <c r="F130" s="56"/>
      <c r="G130" s="56"/>
      <c r="Q130"/>
      <c r="R130"/>
      <c r="S130"/>
      <c r="T130"/>
      <c r="U130"/>
      <c r="V130"/>
      <c r="W130"/>
    </row>
    <row r="131" spans="1:23">
      <c r="A131" s="56"/>
      <c r="B131" s="56"/>
      <c r="C131" s="56"/>
      <c r="D131" s="56"/>
      <c r="E131" s="56"/>
      <c r="F131" s="56"/>
      <c r="G131" s="56"/>
      <c r="Q131"/>
      <c r="R131"/>
      <c r="S131"/>
      <c r="T131"/>
      <c r="U131"/>
      <c r="V131"/>
      <c r="W131"/>
    </row>
    <row r="132" spans="1:23">
      <c r="A132" s="56"/>
      <c r="B132" s="56"/>
      <c r="C132" s="56"/>
      <c r="D132" s="56"/>
      <c r="E132" s="56"/>
      <c r="F132" s="56"/>
      <c r="G132" s="56"/>
      <c r="Q132"/>
      <c r="R132"/>
      <c r="S132"/>
      <c r="T132"/>
      <c r="U132"/>
      <c r="V132"/>
      <c r="W132"/>
    </row>
    <row r="133" spans="1:23">
      <c r="A133" s="56"/>
      <c r="B133" s="56"/>
      <c r="C133" s="56"/>
      <c r="D133" s="56"/>
      <c r="E133" s="56"/>
      <c r="F133" s="56"/>
      <c r="G133" s="56"/>
      <c r="Q133"/>
      <c r="R133"/>
      <c r="S133"/>
      <c r="T133"/>
      <c r="U133"/>
      <c r="V133"/>
      <c r="W133"/>
    </row>
    <row r="134" spans="1:23">
      <c r="A134" s="56"/>
      <c r="B134" s="56"/>
      <c r="C134" s="56"/>
      <c r="D134" s="56"/>
      <c r="E134" s="56"/>
      <c r="F134" s="56"/>
      <c r="G134" s="56"/>
      <c r="Q134"/>
      <c r="R134"/>
      <c r="S134"/>
      <c r="T134"/>
      <c r="U134"/>
      <c r="V134"/>
      <c r="W134"/>
    </row>
    <row r="135" spans="1:23">
      <c r="A135" s="56"/>
      <c r="B135" s="56"/>
      <c r="C135" s="56"/>
      <c r="D135" s="56"/>
      <c r="E135" s="56"/>
      <c r="F135" s="56"/>
      <c r="G135" s="56"/>
      <c r="Q135"/>
      <c r="R135"/>
      <c r="S135"/>
      <c r="T135"/>
      <c r="U135"/>
      <c r="V135"/>
      <c r="W135"/>
    </row>
    <row r="136" spans="1:23">
      <c r="A136" s="56"/>
      <c r="B136" s="56"/>
      <c r="C136" s="56"/>
      <c r="D136" s="56"/>
      <c r="E136" s="56"/>
      <c r="F136" s="56"/>
      <c r="G136" s="56"/>
      <c r="Q136"/>
      <c r="R136"/>
      <c r="S136"/>
      <c r="T136"/>
      <c r="U136"/>
      <c r="V136"/>
      <c r="W136"/>
    </row>
    <row r="137" spans="1:23">
      <c r="A137" s="56"/>
      <c r="B137" s="56"/>
      <c r="C137" s="56"/>
      <c r="D137" s="56"/>
      <c r="E137" s="56"/>
      <c r="F137" s="56"/>
      <c r="G137" s="56"/>
      <c r="Q137"/>
      <c r="R137"/>
      <c r="S137"/>
      <c r="T137"/>
      <c r="U137"/>
      <c r="V137"/>
      <c r="W137"/>
    </row>
    <row r="138" spans="1:23">
      <c r="A138" s="56"/>
      <c r="B138" s="56"/>
      <c r="C138" s="56"/>
      <c r="D138" s="56"/>
      <c r="E138" s="56"/>
      <c r="F138" s="56"/>
      <c r="G138" s="56"/>
      <c r="Q138"/>
      <c r="R138"/>
      <c r="S138"/>
      <c r="T138"/>
      <c r="U138"/>
      <c r="V138"/>
      <c r="W138"/>
    </row>
    <row r="139" spans="1:23">
      <c r="A139" s="56"/>
      <c r="B139" s="56"/>
      <c r="C139" s="56"/>
      <c r="D139" s="56"/>
      <c r="E139" s="56"/>
      <c r="F139" s="56"/>
      <c r="G139" s="56"/>
      <c r="Q139"/>
      <c r="R139"/>
      <c r="S139"/>
      <c r="T139"/>
      <c r="U139"/>
      <c r="V139"/>
      <c r="W139"/>
    </row>
    <row r="140" spans="1:23">
      <c r="A140" s="56"/>
      <c r="B140" s="56"/>
      <c r="C140" s="56"/>
      <c r="D140" s="56"/>
      <c r="E140" s="56"/>
      <c r="F140" s="56"/>
      <c r="G140" s="56"/>
      <c r="Q140"/>
      <c r="R140"/>
      <c r="S140"/>
      <c r="T140"/>
      <c r="U140"/>
      <c r="V140"/>
      <c r="W140"/>
    </row>
    <row r="141" spans="1:23">
      <c r="A141" s="56"/>
      <c r="B141" s="56"/>
      <c r="C141" s="56"/>
      <c r="D141" s="56"/>
      <c r="E141" s="56"/>
      <c r="F141" s="56"/>
      <c r="G141" s="56"/>
      <c r="Q141"/>
      <c r="R141"/>
      <c r="S141"/>
      <c r="T141"/>
      <c r="U141"/>
      <c r="V141"/>
      <c r="W141"/>
    </row>
    <row r="142" spans="1:23">
      <c r="A142" s="56"/>
      <c r="B142" s="56"/>
      <c r="C142" s="56"/>
      <c r="D142" s="56"/>
      <c r="E142" s="56"/>
      <c r="F142" s="56"/>
      <c r="G142" s="56"/>
      <c r="Q142"/>
      <c r="R142"/>
      <c r="S142"/>
      <c r="T142"/>
      <c r="U142"/>
      <c r="V142"/>
      <c r="W142"/>
    </row>
    <row r="143" spans="1:23">
      <c r="A143" s="56"/>
      <c r="B143" s="56"/>
      <c r="C143" s="56"/>
      <c r="D143" s="56"/>
      <c r="E143" s="56"/>
      <c r="F143" s="56"/>
      <c r="G143" s="56"/>
      <c r="Q143"/>
      <c r="R143"/>
      <c r="S143"/>
      <c r="T143"/>
      <c r="U143"/>
      <c r="V143"/>
      <c r="W143"/>
    </row>
    <row r="144" spans="1:23">
      <c r="A144" s="56"/>
      <c r="B144" s="56"/>
      <c r="C144" s="56"/>
      <c r="D144" s="56"/>
      <c r="E144" s="56"/>
      <c r="F144" s="56"/>
      <c r="G144" s="56"/>
      <c r="Q144"/>
      <c r="R144"/>
      <c r="S144"/>
      <c r="T144"/>
      <c r="U144"/>
      <c r="V144"/>
      <c r="W144"/>
    </row>
    <row r="145" spans="1:23">
      <c r="A145" s="56"/>
      <c r="B145" s="56"/>
      <c r="C145" s="56"/>
      <c r="D145" s="56"/>
      <c r="E145" s="56"/>
      <c r="F145" s="56"/>
      <c r="G145" s="56"/>
      <c r="Q145"/>
      <c r="R145"/>
      <c r="S145"/>
      <c r="T145"/>
      <c r="U145"/>
      <c r="V145"/>
      <c r="W145"/>
    </row>
    <row r="146" spans="1:23">
      <c r="A146" s="56"/>
      <c r="B146" s="56"/>
      <c r="C146" s="56"/>
      <c r="D146" s="56"/>
      <c r="E146" s="56"/>
      <c r="F146" s="56"/>
      <c r="G146" s="56"/>
      <c r="Q146"/>
      <c r="R146"/>
      <c r="S146"/>
      <c r="T146"/>
      <c r="U146"/>
      <c r="V146"/>
      <c r="W146"/>
    </row>
    <row r="147" spans="1:23">
      <c r="A147" s="56"/>
      <c r="B147" s="56"/>
      <c r="C147" s="56"/>
      <c r="D147" s="56"/>
      <c r="E147" s="56"/>
      <c r="F147" s="56"/>
      <c r="G147" s="56"/>
      <c r="Q147"/>
      <c r="R147"/>
      <c r="S147"/>
      <c r="T147"/>
      <c r="U147"/>
      <c r="V147"/>
      <c r="W147"/>
    </row>
    <row r="148" spans="1:23">
      <c r="A148" s="56"/>
      <c r="B148" s="56"/>
      <c r="C148" s="56"/>
      <c r="D148" s="56"/>
      <c r="E148" s="56"/>
      <c r="F148" s="56"/>
      <c r="G148" s="56"/>
      <c r="Q148"/>
      <c r="R148"/>
      <c r="S148"/>
      <c r="T148"/>
      <c r="U148"/>
      <c r="V148"/>
      <c r="W148"/>
    </row>
    <row r="149" spans="1:23">
      <c r="A149" s="56"/>
      <c r="B149" s="56"/>
      <c r="C149" s="56"/>
      <c r="D149" s="56"/>
      <c r="E149" s="56"/>
      <c r="F149" s="56"/>
      <c r="G149" s="56"/>
      <c r="Q149"/>
      <c r="R149"/>
      <c r="S149"/>
      <c r="T149"/>
      <c r="U149"/>
      <c r="V149"/>
      <c r="W149"/>
    </row>
    <row r="150" spans="1:23">
      <c r="A150" s="56"/>
      <c r="B150" s="56"/>
      <c r="C150" s="56"/>
      <c r="D150" s="56"/>
      <c r="E150" s="56"/>
      <c r="F150" s="56"/>
      <c r="G150" s="56"/>
      <c r="Q150"/>
      <c r="R150"/>
      <c r="S150"/>
      <c r="T150"/>
      <c r="U150"/>
      <c r="V150"/>
      <c r="W150"/>
    </row>
    <row r="151" spans="1:23">
      <c r="A151" s="56"/>
      <c r="B151" s="56"/>
      <c r="C151" s="56"/>
      <c r="D151" s="56"/>
      <c r="E151" s="56"/>
      <c r="F151" s="56"/>
      <c r="G151" s="56"/>
      <c r="Q151"/>
      <c r="R151"/>
      <c r="S151"/>
      <c r="T151"/>
      <c r="U151"/>
      <c r="V151"/>
      <c r="W151"/>
    </row>
    <row r="152" spans="1:23">
      <c r="A152" s="56"/>
      <c r="B152" s="56"/>
      <c r="C152" s="56"/>
      <c r="D152" s="56"/>
      <c r="E152" s="56"/>
      <c r="F152" s="56"/>
      <c r="G152" s="56"/>
      <c r="Q152"/>
      <c r="R152"/>
      <c r="S152"/>
      <c r="T152"/>
      <c r="U152"/>
      <c r="V152"/>
      <c r="W152"/>
    </row>
    <row r="153" spans="1:23">
      <c r="A153" s="56"/>
      <c r="B153" s="56"/>
      <c r="C153" s="56"/>
      <c r="D153" s="56"/>
      <c r="E153" s="56"/>
      <c r="F153" s="56"/>
      <c r="G153" s="56"/>
      <c r="Q153"/>
      <c r="R153"/>
      <c r="S153"/>
      <c r="T153"/>
      <c r="U153"/>
      <c r="V153"/>
      <c r="W153"/>
    </row>
    <row r="154" spans="1:23">
      <c r="A154" s="56"/>
      <c r="B154" s="56"/>
      <c r="C154" s="56"/>
      <c r="D154" s="56"/>
      <c r="E154" s="56"/>
      <c r="F154" s="56"/>
      <c r="G154" s="56"/>
      <c r="Q154"/>
      <c r="R154"/>
      <c r="S154"/>
      <c r="T154"/>
      <c r="U154"/>
      <c r="V154"/>
      <c r="W154"/>
    </row>
    <row r="155" spans="1:23">
      <c r="A155" s="56"/>
      <c r="B155" s="56"/>
      <c r="C155" s="56"/>
      <c r="D155" s="56"/>
      <c r="E155" s="56"/>
      <c r="F155" s="56"/>
      <c r="G155" s="56"/>
      <c r="Q155"/>
      <c r="R155"/>
      <c r="S155"/>
      <c r="T155"/>
      <c r="U155"/>
      <c r="V155"/>
      <c r="W155"/>
    </row>
    <row r="156" spans="1:23">
      <c r="A156" s="56"/>
      <c r="B156" s="56"/>
      <c r="C156" s="56"/>
      <c r="D156" s="56"/>
      <c r="E156" s="56"/>
      <c r="F156" s="56"/>
      <c r="G156" s="56"/>
      <c r="Q156"/>
      <c r="R156"/>
      <c r="S156"/>
      <c r="T156"/>
      <c r="U156"/>
      <c r="V156"/>
      <c r="W156"/>
    </row>
    <row r="157" spans="1:23">
      <c r="A157" s="56"/>
      <c r="B157" s="56"/>
      <c r="C157" s="56"/>
      <c r="D157" s="56"/>
      <c r="E157" s="56"/>
      <c r="F157" s="56"/>
      <c r="G157" s="56"/>
      <c r="Q157"/>
      <c r="R157"/>
      <c r="S157"/>
      <c r="T157"/>
      <c r="U157"/>
      <c r="V157"/>
      <c r="W157"/>
    </row>
    <row r="158" spans="1:23">
      <c r="A158" s="56"/>
      <c r="B158" s="56"/>
      <c r="C158" s="56"/>
      <c r="D158" s="56"/>
      <c r="E158" s="56"/>
      <c r="F158" s="56"/>
      <c r="G158" s="56"/>
      <c r="Q158"/>
      <c r="R158"/>
      <c r="S158"/>
      <c r="T158"/>
      <c r="U158"/>
      <c r="V158"/>
      <c r="W158"/>
    </row>
    <row r="159" spans="1:23">
      <c r="A159" s="56"/>
      <c r="B159" s="56"/>
      <c r="C159" s="56"/>
      <c r="D159" s="56"/>
      <c r="E159" s="56"/>
      <c r="F159" s="56"/>
      <c r="G159" s="56"/>
      <c r="Q159"/>
      <c r="R159"/>
      <c r="S159"/>
      <c r="T159"/>
      <c r="U159"/>
      <c r="V159"/>
      <c r="W159"/>
    </row>
    <row r="160" spans="1:23">
      <c r="A160" s="56"/>
      <c r="B160" s="56"/>
      <c r="C160" s="56"/>
      <c r="D160" s="56"/>
      <c r="E160" s="56"/>
      <c r="F160" s="56"/>
      <c r="G160" s="56"/>
      <c r="Q160"/>
      <c r="R160"/>
      <c r="S160"/>
      <c r="T160"/>
      <c r="U160"/>
      <c r="V160"/>
      <c r="W160"/>
    </row>
    <row r="161" spans="1:23">
      <c r="A161" s="56"/>
      <c r="B161" s="56"/>
      <c r="C161" s="56"/>
      <c r="D161" s="56"/>
      <c r="E161" s="56"/>
      <c r="F161" s="56"/>
      <c r="G161" s="56"/>
      <c r="Q161"/>
      <c r="R161"/>
      <c r="S161"/>
      <c r="T161"/>
      <c r="U161"/>
      <c r="V161"/>
      <c r="W161"/>
    </row>
    <row r="162" spans="1:23">
      <c r="A162" s="56"/>
      <c r="B162" s="56"/>
      <c r="C162" s="56"/>
      <c r="D162" s="56"/>
      <c r="E162" s="56"/>
      <c r="F162" s="56"/>
      <c r="G162" s="56"/>
      <c r="Q162"/>
      <c r="R162"/>
      <c r="S162"/>
      <c r="T162"/>
      <c r="U162"/>
      <c r="V162"/>
      <c r="W162"/>
    </row>
    <row r="163" spans="1:23">
      <c r="A163" s="56"/>
      <c r="B163" s="56"/>
      <c r="C163" s="56"/>
      <c r="D163" s="56"/>
      <c r="E163" s="56"/>
      <c r="F163" s="56"/>
      <c r="G163" s="56"/>
      <c r="Q163"/>
      <c r="R163"/>
      <c r="S163"/>
      <c r="T163"/>
      <c r="U163"/>
      <c r="V163"/>
      <c r="W163"/>
    </row>
    <row r="164" spans="1:23">
      <c r="A164" s="56"/>
      <c r="B164" s="56"/>
      <c r="C164" s="56"/>
      <c r="D164" s="56"/>
      <c r="E164" s="56"/>
      <c r="F164" s="56"/>
      <c r="G164" s="56"/>
      <c r="Q164"/>
      <c r="R164"/>
      <c r="S164"/>
      <c r="T164"/>
      <c r="U164"/>
      <c r="V164"/>
      <c r="W164"/>
    </row>
    <row r="165" spans="1:23">
      <c r="A165" s="56"/>
      <c r="B165" s="56"/>
      <c r="C165" s="56"/>
      <c r="D165" s="56"/>
      <c r="E165" s="56"/>
      <c r="F165" s="56"/>
      <c r="G165" s="56"/>
      <c r="Q165"/>
      <c r="R165"/>
      <c r="S165"/>
      <c r="T165"/>
      <c r="U165"/>
      <c r="V165"/>
      <c r="W165"/>
    </row>
    <row r="166" spans="1:23">
      <c r="A166" s="56"/>
      <c r="B166" s="56"/>
      <c r="C166" s="56"/>
      <c r="D166" s="56"/>
      <c r="E166" s="56"/>
      <c r="F166" s="56"/>
      <c r="G166" s="56"/>
      <c r="Q166"/>
      <c r="R166"/>
      <c r="S166"/>
      <c r="T166"/>
      <c r="U166"/>
      <c r="V166"/>
      <c r="W166"/>
    </row>
    <row r="167" spans="1:23">
      <c r="A167" s="56"/>
      <c r="B167" s="56"/>
      <c r="C167" s="56"/>
      <c r="D167" s="56"/>
      <c r="E167" s="56"/>
      <c r="F167" s="56"/>
      <c r="G167" s="56"/>
      <c r="Q167"/>
      <c r="R167"/>
      <c r="S167"/>
      <c r="T167"/>
      <c r="U167"/>
      <c r="V167"/>
      <c r="W167"/>
    </row>
    <row r="168" spans="1:23">
      <c r="A168" s="56"/>
      <c r="B168" s="56"/>
      <c r="C168" s="56"/>
      <c r="D168" s="56"/>
      <c r="E168" s="56"/>
      <c r="F168" s="56"/>
      <c r="G168" s="56"/>
      <c r="Q168"/>
      <c r="R168"/>
      <c r="S168"/>
      <c r="T168"/>
      <c r="U168"/>
      <c r="V168"/>
      <c r="W168"/>
    </row>
    <row r="169" spans="1:23">
      <c r="A169" s="56"/>
      <c r="B169" s="56"/>
      <c r="C169" s="56"/>
      <c r="D169" s="56"/>
      <c r="E169" s="56"/>
      <c r="F169" s="56"/>
      <c r="G169" s="56"/>
      <c r="Q169"/>
      <c r="R169"/>
      <c r="S169"/>
      <c r="T169"/>
      <c r="U169"/>
      <c r="V169"/>
      <c r="W169"/>
    </row>
    <row r="170" spans="1:23">
      <c r="A170" s="56"/>
      <c r="B170" s="56"/>
      <c r="C170" s="56"/>
      <c r="D170" s="56"/>
      <c r="E170" s="56"/>
      <c r="F170" s="56"/>
      <c r="G170" s="56"/>
      <c r="Q170"/>
      <c r="R170"/>
      <c r="S170"/>
      <c r="T170"/>
      <c r="U170"/>
      <c r="V170"/>
      <c r="W170"/>
    </row>
    <row r="171" spans="1:23">
      <c r="A171" s="56"/>
      <c r="B171" s="56"/>
      <c r="C171" s="56"/>
      <c r="D171" s="56"/>
      <c r="E171" s="56"/>
      <c r="F171" s="56"/>
      <c r="G171" s="56"/>
      <c r="Q171"/>
      <c r="R171"/>
      <c r="S171"/>
      <c r="T171"/>
      <c r="U171"/>
      <c r="V171"/>
      <c r="W171"/>
    </row>
    <row r="172" spans="1:23">
      <c r="A172" s="56"/>
      <c r="B172" s="56"/>
      <c r="C172" s="56"/>
      <c r="D172" s="56"/>
      <c r="E172" s="56"/>
      <c r="F172" s="56"/>
      <c r="G172" s="56"/>
      <c r="Q172"/>
      <c r="R172"/>
      <c r="S172"/>
      <c r="T172"/>
      <c r="U172"/>
      <c r="V172"/>
      <c r="W172"/>
    </row>
    <row r="173" spans="1:23">
      <c r="A173" s="56"/>
      <c r="B173" s="56"/>
      <c r="C173" s="56"/>
      <c r="D173" s="56"/>
      <c r="E173" s="56"/>
      <c r="F173" s="56"/>
      <c r="G173" s="56"/>
      <c r="Q173"/>
      <c r="R173"/>
      <c r="S173"/>
      <c r="T173"/>
      <c r="U173"/>
      <c r="V173"/>
      <c r="W173"/>
    </row>
    <row r="174" spans="1:23">
      <c r="A174" s="56"/>
      <c r="B174" s="56"/>
      <c r="C174" s="56"/>
      <c r="D174" s="56"/>
      <c r="E174" s="56"/>
      <c r="F174" s="56"/>
      <c r="G174" s="56"/>
      <c r="Q174"/>
      <c r="R174"/>
      <c r="S174"/>
      <c r="T174"/>
      <c r="U174"/>
      <c r="V174"/>
      <c r="W174"/>
    </row>
    <row r="175" spans="1:23">
      <c r="A175" s="56"/>
      <c r="B175" s="56"/>
      <c r="C175" s="56"/>
      <c r="D175" s="56"/>
      <c r="E175" s="56"/>
      <c r="F175" s="56"/>
      <c r="G175" s="56"/>
      <c r="Q175"/>
      <c r="R175"/>
      <c r="S175"/>
      <c r="T175"/>
      <c r="U175"/>
      <c r="V175"/>
      <c r="W175"/>
    </row>
    <row r="176" spans="1:23">
      <c r="A176" s="56"/>
      <c r="B176" s="56"/>
      <c r="C176" s="56"/>
      <c r="D176" s="56"/>
      <c r="E176" s="56"/>
      <c r="F176" s="56"/>
      <c r="G176" s="56"/>
      <c r="Q176"/>
      <c r="R176"/>
      <c r="S176"/>
      <c r="T176"/>
      <c r="U176"/>
      <c r="V176"/>
      <c r="W176"/>
    </row>
    <row r="177" spans="1:23">
      <c r="A177" s="56"/>
      <c r="B177" s="56"/>
      <c r="C177" s="56"/>
      <c r="D177" s="56"/>
      <c r="E177" s="56"/>
      <c r="F177" s="56"/>
      <c r="G177" s="56"/>
      <c r="Q177"/>
      <c r="R177"/>
      <c r="S177"/>
      <c r="T177"/>
      <c r="U177"/>
      <c r="V177"/>
      <c r="W177"/>
    </row>
    <row r="178" spans="1:23">
      <c r="A178" s="56"/>
      <c r="B178" s="56"/>
      <c r="C178" s="56"/>
      <c r="D178" s="56"/>
      <c r="E178" s="56"/>
      <c r="F178" s="56"/>
      <c r="G178" s="56"/>
      <c r="Q178"/>
      <c r="R178"/>
      <c r="S178"/>
      <c r="T178"/>
      <c r="U178"/>
      <c r="V178"/>
      <c r="W178"/>
    </row>
    <row r="179" spans="1:23">
      <c r="A179" s="56"/>
      <c r="B179" s="56"/>
      <c r="C179" s="56"/>
      <c r="D179" s="56"/>
      <c r="E179" s="56"/>
      <c r="F179" s="56"/>
      <c r="G179" s="56"/>
      <c r="Q179"/>
      <c r="R179"/>
      <c r="S179"/>
      <c r="T179"/>
      <c r="U179"/>
      <c r="V179"/>
      <c r="W179"/>
    </row>
    <row r="180" spans="1:23">
      <c r="A180" s="56"/>
      <c r="B180" s="56"/>
      <c r="C180" s="56"/>
      <c r="D180" s="56"/>
      <c r="E180" s="56"/>
      <c r="F180" s="56"/>
      <c r="G180" s="56"/>
      <c r="Q180"/>
      <c r="R180"/>
      <c r="S180"/>
      <c r="T180"/>
      <c r="U180"/>
      <c r="V180"/>
      <c r="W180"/>
    </row>
    <row r="181" spans="1:23">
      <c r="A181" s="56"/>
      <c r="B181" s="56"/>
      <c r="C181" s="56"/>
      <c r="D181" s="56"/>
      <c r="E181" s="56"/>
      <c r="F181" s="56"/>
      <c r="G181" s="56"/>
      <c r="Q181"/>
      <c r="R181"/>
      <c r="S181"/>
      <c r="T181"/>
      <c r="U181"/>
      <c r="V181"/>
      <c r="W181"/>
    </row>
    <row r="182" spans="1:23">
      <c r="A182" s="56"/>
      <c r="B182" s="56"/>
      <c r="C182" s="56"/>
      <c r="D182" s="56"/>
      <c r="E182" s="56"/>
      <c r="F182" s="56"/>
      <c r="G182" s="56"/>
      <c r="Q182"/>
      <c r="R182"/>
      <c r="S182"/>
      <c r="T182"/>
      <c r="U182"/>
      <c r="V182"/>
      <c r="W182"/>
    </row>
    <row r="183" spans="1:23">
      <c r="A183" s="56"/>
      <c r="B183" s="56"/>
      <c r="C183" s="56"/>
      <c r="D183" s="56"/>
      <c r="E183" s="56"/>
      <c r="F183" s="56"/>
      <c r="G183" s="56"/>
      <c r="Q183"/>
      <c r="R183"/>
      <c r="S183"/>
      <c r="T183"/>
      <c r="U183"/>
      <c r="V183"/>
      <c r="W183"/>
    </row>
    <row r="184" spans="1:23">
      <c r="A184" s="56"/>
      <c r="B184" s="56"/>
      <c r="C184" s="56"/>
      <c r="D184" s="56"/>
      <c r="E184" s="56"/>
      <c r="F184" s="56"/>
      <c r="G184" s="56"/>
      <c r="Q184"/>
      <c r="R184"/>
      <c r="S184"/>
      <c r="T184"/>
      <c r="U184"/>
      <c r="V184"/>
      <c r="W184"/>
    </row>
    <row r="185" spans="1:23">
      <c r="A185" s="56"/>
      <c r="B185" s="56"/>
      <c r="C185" s="56"/>
      <c r="D185" s="56"/>
      <c r="E185" s="56"/>
      <c r="F185" s="56"/>
      <c r="G185" s="56"/>
      <c r="Q185"/>
      <c r="R185"/>
      <c r="S185"/>
      <c r="T185"/>
      <c r="U185"/>
      <c r="V185"/>
      <c r="W185"/>
    </row>
    <row r="186" spans="1:23">
      <c r="A186" s="56"/>
      <c r="B186" s="56"/>
      <c r="C186" s="56"/>
      <c r="D186" s="56"/>
      <c r="E186" s="56"/>
      <c r="F186" s="56"/>
      <c r="G186" s="56"/>
      <c r="Q186"/>
      <c r="R186"/>
      <c r="S186"/>
      <c r="T186"/>
      <c r="U186"/>
      <c r="V186"/>
      <c r="W186"/>
    </row>
    <row r="187" spans="1:23">
      <c r="A187" s="56"/>
      <c r="B187" s="56"/>
      <c r="C187" s="56"/>
      <c r="D187" s="56"/>
      <c r="E187" s="56"/>
      <c r="F187" s="56"/>
      <c r="G187" s="56"/>
      <c r="Q187"/>
      <c r="R187"/>
      <c r="S187"/>
      <c r="T187"/>
      <c r="U187"/>
      <c r="V187"/>
      <c r="W187"/>
    </row>
    <row r="188" spans="1:23">
      <c r="A188" s="56"/>
      <c r="B188" s="56"/>
      <c r="C188" s="56"/>
      <c r="D188" s="56"/>
      <c r="E188" s="56"/>
      <c r="F188" s="56"/>
      <c r="G188" s="56"/>
      <c r="Q188"/>
      <c r="R188"/>
      <c r="S188"/>
      <c r="T188"/>
      <c r="U188"/>
      <c r="V188"/>
      <c r="W188"/>
    </row>
    <row r="189" spans="1:23">
      <c r="A189" s="56"/>
      <c r="B189" s="56"/>
      <c r="C189" s="56"/>
      <c r="D189" s="56"/>
      <c r="E189" s="56"/>
      <c r="F189" s="56"/>
      <c r="G189" s="56"/>
      <c r="Q189"/>
      <c r="R189"/>
      <c r="S189"/>
      <c r="T189"/>
      <c r="U189"/>
      <c r="V189"/>
      <c r="W189"/>
    </row>
    <row r="190" spans="1:23">
      <c r="A190" s="56"/>
      <c r="B190" s="56"/>
      <c r="C190" s="56"/>
      <c r="D190" s="56"/>
      <c r="E190" s="56"/>
      <c r="F190" s="56"/>
      <c r="G190" s="56"/>
      <c r="Q190"/>
      <c r="R190"/>
      <c r="S190"/>
      <c r="T190"/>
      <c r="U190"/>
      <c r="V190"/>
      <c r="W190"/>
    </row>
    <row r="191" spans="1:23">
      <c r="A191" s="56"/>
      <c r="B191" s="56"/>
      <c r="C191" s="56"/>
      <c r="D191" s="56"/>
      <c r="E191" s="56"/>
      <c r="F191" s="56"/>
      <c r="G191" s="56"/>
      <c r="Q191"/>
      <c r="R191"/>
      <c r="S191"/>
      <c r="T191"/>
      <c r="U191"/>
      <c r="V191"/>
      <c r="W191"/>
    </row>
    <row r="192" spans="1:23">
      <c r="A192" s="56"/>
      <c r="B192" s="56"/>
      <c r="C192" s="56"/>
      <c r="D192" s="56"/>
      <c r="E192" s="56"/>
      <c r="F192" s="56"/>
      <c r="G192" s="56"/>
      <c r="Q192"/>
      <c r="R192"/>
      <c r="S192"/>
      <c r="T192"/>
      <c r="U192"/>
      <c r="V192"/>
      <c r="W192"/>
    </row>
    <row r="193" spans="1:23">
      <c r="A193" s="56"/>
      <c r="B193" s="56"/>
      <c r="C193" s="56"/>
      <c r="D193" s="56"/>
      <c r="E193" s="56"/>
      <c r="F193" s="56"/>
      <c r="G193" s="56"/>
      <c r="Q193"/>
      <c r="R193"/>
      <c r="S193"/>
      <c r="T193"/>
      <c r="U193"/>
      <c r="V193"/>
      <c r="W193"/>
    </row>
    <row r="194" spans="1:23">
      <c r="A194" s="56"/>
      <c r="B194" s="56"/>
      <c r="C194" s="56"/>
      <c r="D194" s="56"/>
      <c r="E194" s="56"/>
      <c r="F194" s="56"/>
      <c r="G194" s="56"/>
      <c r="Q194"/>
      <c r="R194"/>
      <c r="S194"/>
      <c r="T194"/>
      <c r="U194"/>
      <c r="V194"/>
      <c r="W194"/>
    </row>
    <row r="195" spans="1:23">
      <c r="A195" s="56"/>
      <c r="B195" s="56"/>
      <c r="C195" s="56"/>
      <c r="D195" s="56"/>
      <c r="E195" s="56"/>
      <c r="F195" s="56"/>
      <c r="G195" s="56"/>
      <c r="Q195"/>
      <c r="R195"/>
      <c r="S195"/>
      <c r="T195"/>
      <c r="U195"/>
      <c r="V195"/>
      <c r="W195"/>
    </row>
    <row r="196" spans="1:23">
      <c r="A196" s="56"/>
      <c r="B196" s="56"/>
      <c r="C196" s="56"/>
      <c r="D196" s="56"/>
      <c r="E196" s="56"/>
      <c r="F196" s="56"/>
      <c r="G196" s="56"/>
      <c r="Q196"/>
      <c r="R196"/>
      <c r="S196"/>
      <c r="T196"/>
      <c r="U196"/>
      <c r="V196"/>
      <c r="W196"/>
    </row>
    <row r="197" spans="1:23">
      <c r="A197" s="56"/>
      <c r="B197" s="56"/>
      <c r="C197" s="56"/>
      <c r="D197" s="56"/>
      <c r="E197" s="56"/>
      <c r="F197" s="56"/>
      <c r="G197" s="56"/>
      <c r="Q197"/>
      <c r="R197"/>
      <c r="S197"/>
      <c r="T197"/>
      <c r="U197"/>
      <c r="V197"/>
      <c r="W197"/>
    </row>
    <row r="198" spans="1:23">
      <c r="A198" s="56"/>
      <c r="B198" s="56"/>
      <c r="C198" s="56"/>
      <c r="D198" s="56"/>
      <c r="E198" s="56"/>
      <c r="F198" s="56"/>
      <c r="G198" s="56"/>
      <c r="Q198"/>
      <c r="R198"/>
      <c r="S198"/>
      <c r="T198"/>
      <c r="U198"/>
      <c r="V198"/>
      <c r="W198"/>
    </row>
    <row r="199" spans="1:23">
      <c r="A199" s="56"/>
      <c r="B199" s="56"/>
      <c r="C199" s="56"/>
      <c r="D199" s="56"/>
      <c r="E199" s="56"/>
      <c r="F199" s="56"/>
      <c r="G199" s="56"/>
      <c r="Q199"/>
      <c r="R199"/>
      <c r="S199"/>
      <c r="T199"/>
      <c r="U199"/>
      <c r="V199"/>
      <c r="W199"/>
    </row>
    <row r="200" spans="1:23">
      <c r="A200" s="56"/>
      <c r="B200" s="56"/>
      <c r="C200" s="56"/>
      <c r="D200" s="56"/>
      <c r="E200" s="56"/>
      <c r="F200" s="56"/>
      <c r="G200" s="56"/>
      <c r="Q200"/>
      <c r="R200"/>
      <c r="S200"/>
      <c r="T200"/>
      <c r="U200"/>
      <c r="V200"/>
      <c r="W200"/>
    </row>
    <row r="201" spans="1:23">
      <c r="A201" s="56"/>
      <c r="B201" s="56"/>
      <c r="C201" s="56"/>
      <c r="D201" s="56"/>
      <c r="E201" s="56"/>
      <c r="F201" s="56"/>
      <c r="G201" s="56"/>
      <c r="Q201"/>
      <c r="R201"/>
      <c r="S201"/>
      <c r="T201"/>
      <c r="U201"/>
      <c r="V201"/>
      <c r="W201"/>
    </row>
    <row r="202" spans="1:23">
      <c r="A202" s="56"/>
      <c r="B202" s="56"/>
      <c r="C202" s="56"/>
      <c r="D202" s="56"/>
      <c r="E202" s="56"/>
      <c r="F202" s="56"/>
      <c r="G202" s="56"/>
      <c r="Q202"/>
      <c r="R202"/>
      <c r="S202"/>
      <c r="T202"/>
      <c r="U202"/>
      <c r="V202"/>
      <c r="W202"/>
    </row>
    <row r="203" spans="1:23">
      <c r="A203" s="56"/>
      <c r="B203" s="56"/>
      <c r="C203" s="56"/>
      <c r="D203" s="56"/>
      <c r="E203" s="56"/>
      <c r="F203" s="56"/>
      <c r="G203" s="56"/>
      <c r="Q203"/>
      <c r="R203"/>
      <c r="S203"/>
      <c r="T203"/>
      <c r="U203"/>
      <c r="V203"/>
      <c r="W203"/>
    </row>
    <row r="204" spans="1:23">
      <c r="A204" s="56"/>
      <c r="B204" s="56"/>
      <c r="C204" s="56"/>
      <c r="D204" s="56"/>
      <c r="E204" s="56"/>
      <c r="F204" s="56"/>
      <c r="G204" s="56"/>
      <c r="Q204"/>
      <c r="R204"/>
      <c r="S204"/>
      <c r="T204"/>
      <c r="U204"/>
      <c r="V204"/>
      <c r="W204"/>
    </row>
    <row r="205" spans="1:23">
      <c r="A205" s="56"/>
      <c r="B205" s="56"/>
      <c r="C205" s="56"/>
      <c r="D205" s="56"/>
      <c r="E205" s="56"/>
      <c r="F205" s="56"/>
      <c r="G205" s="56"/>
      <c r="Q205"/>
      <c r="R205"/>
      <c r="S205"/>
      <c r="T205"/>
      <c r="U205"/>
      <c r="V205"/>
      <c r="W205"/>
    </row>
    <row r="206" spans="1:23">
      <c r="A206" s="56"/>
      <c r="B206" s="56"/>
      <c r="C206" s="56"/>
      <c r="D206" s="56"/>
      <c r="E206" s="56"/>
      <c r="F206" s="56"/>
      <c r="G206" s="56"/>
      <c r="Q206"/>
      <c r="R206"/>
      <c r="S206"/>
      <c r="T206"/>
      <c r="U206"/>
      <c r="V206"/>
      <c r="W206"/>
    </row>
    <row r="207" spans="1:23">
      <c r="A207" s="56"/>
      <c r="B207" s="56"/>
      <c r="C207" s="56"/>
      <c r="D207" s="56"/>
      <c r="E207" s="56"/>
      <c r="F207" s="56"/>
      <c r="G207" s="56"/>
      <c r="Q207"/>
      <c r="R207"/>
      <c r="S207"/>
      <c r="T207"/>
      <c r="U207"/>
      <c r="V207"/>
      <c r="W207"/>
    </row>
    <row r="208" spans="1:23">
      <c r="A208" s="56"/>
      <c r="B208" s="56"/>
      <c r="C208" s="56"/>
      <c r="D208" s="56"/>
      <c r="E208" s="56"/>
      <c r="F208" s="56"/>
      <c r="G208" s="56"/>
      <c r="Q208"/>
      <c r="R208"/>
      <c r="S208"/>
      <c r="T208"/>
      <c r="U208"/>
      <c r="V208"/>
      <c r="W208"/>
    </row>
    <row r="209" spans="1:23">
      <c r="A209" s="56"/>
      <c r="B209" s="56"/>
      <c r="C209" s="56"/>
      <c r="D209" s="56"/>
      <c r="E209" s="56"/>
      <c r="F209" s="56"/>
      <c r="G209" s="56"/>
      <c r="Q209"/>
      <c r="R209"/>
      <c r="S209"/>
      <c r="T209"/>
      <c r="U209"/>
      <c r="V209"/>
      <c r="W209"/>
    </row>
    <row r="210" spans="1:23">
      <c r="A210" s="56"/>
      <c r="B210" s="56"/>
      <c r="C210" s="56"/>
      <c r="D210" s="56"/>
      <c r="E210" s="56"/>
      <c r="F210" s="56"/>
      <c r="G210" s="56"/>
      <c r="Q210"/>
      <c r="R210"/>
      <c r="S210"/>
      <c r="T210"/>
      <c r="U210"/>
      <c r="V210"/>
      <c r="W210"/>
    </row>
    <row r="211" spans="1:23">
      <c r="A211" s="56"/>
      <c r="B211" s="56"/>
      <c r="C211" s="56"/>
      <c r="D211" s="56"/>
      <c r="E211" s="56"/>
      <c r="F211" s="56"/>
      <c r="G211" s="56"/>
      <c r="Q211"/>
      <c r="R211"/>
      <c r="S211"/>
      <c r="T211"/>
      <c r="U211"/>
      <c r="V211"/>
      <c r="W211"/>
    </row>
    <row r="212" spans="1:23">
      <c r="A212" s="56"/>
      <c r="B212" s="56"/>
      <c r="C212" s="56"/>
      <c r="D212" s="56"/>
      <c r="E212" s="56"/>
      <c r="F212" s="56"/>
      <c r="G212" s="56"/>
      <c r="Q212"/>
      <c r="R212"/>
      <c r="S212"/>
      <c r="T212"/>
      <c r="U212"/>
      <c r="V212"/>
      <c r="W212"/>
    </row>
    <row r="213" spans="1:23">
      <c r="A213" s="56"/>
      <c r="B213" s="56"/>
      <c r="C213" s="56"/>
      <c r="D213" s="56"/>
      <c r="E213" s="56"/>
      <c r="F213" s="56"/>
      <c r="G213" s="56"/>
      <c r="Q213"/>
      <c r="R213"/>
      <c r="S213"/>
      <c r="T213"/>
      <c r="U213"/>
      <c r="V213"/>
      <c r="W213"/>
    </row>
    <row r="214" spans="1:23">
      <c r="A214" s="56"/>
      <c r="B214" s="56"/>
      <c r="C214" s="56"/>
      <c r="D214" s="56"/>
      <c r="E214" s="56"/>
      <c r="F214" s="56"/>
      <c r="G214" s="56"/>
      <c r="Q214"/>
      <c r="R214"/>
      <c r="S214"/>
      <c r="T214"/>
      <c r="U214"/>
      <c r="V214"/>
      <c r="W214"/>
    </row>
    <row r="215" spans="1:23">
      <c r="A215" s="56"/>
      <c r="B215" s="56"/>
      <c r="C215" s="56"/>
      <c r="D215" s="56"/>
      <c r="E215" s="56"/>
      <c r="F215" s="56"/>
      <c r="G215" s="56"/>
      <c r="Q215"/>
      <c r="R215"/>
      <c r="S215"/>
      <c r="T215"/>
      <c r="U215"/>
      <c r="V215"/>
      <c r="W215"/>
    </row>
    <row r="216" spans="1:23">
      <c r="A216" s="56"/>
      <c r="B216" s="56"/>
      <c r="C216" s="56"/>
      <c r="D216" s="56"/>
      <c r="E216" s="56"/>
      <c r="F216" s="56"/>
      <c r="G216" s="56"/>
      <c r="Q216"/>
      <c r="R216"/>
      <c r="S216"/>
      <c r="T216"/>
      <c r="U216"/>
      <c r="V216"/>
      <c r="W216"/>
    </row>
    <row r="217" spans="1:23">
      <c r="A217" s="56"/>
      <c r="B217" s="56"/>
      <c r="C217" s="56"/>
      <c r="D217" s="56"/>
      <c r="E217" s="56"/>
      <c r="F217" s="56"/>
      <c r="G217" s="56"/>
      <c r="Q217"/>
      <c r="R217"/>
      <c r="S217"/>
      <c r="T217"/>
      <c r="U217"/>
      <c r="V217"/>
      <c r="W217"/>
    </row>
    <row r="218" spans="1:23">
      <c r="A218" s="56"/>
      <c r="B218" s="56"/>
      <c r="C218" s="56"/>
      <c r="D218" s="56"/>
      <c r="E218" s="56"/>
      <c r="F218" s="56"/>
      <c r="G218" s="56"/>
      <c r="Q218"/>
      <c r="R218"/>
      <c r="S218"/>
      <c r="T218"/>
      <c r="U218"/>
      <c r="V218"/>
      <c r="W218"/>
    </row>
    <row r="219" spans="1:23">
      <c r="A219" s="56"/>
      <c r="B219" s="56"/>
      <c r="C219" s="56"/>
      <c r="D219" s="56"/>
      <c r="E219" s="56"/>
      <c r="F219" s="56"/>
      <c r="G219" s="56"/>
      <c r="Q219"/>
      <c r="R219"/>
      <c r="S219"/>
      <c r="T219"/>
      <c r="U219"/>
      <c r="V219"/>
      <c r="W219"/>
    </row>
    <row r="220" spans="1:23">
      <c r="A220" s="56"/>
      <c r="B220" s="56"/>
      <c r="C220" s="56"/>
      <c r="D220" s="56"/>
      <c r="E220" s="56"/>
      <c r="F220" s="56"/>
      <c r="G220" s="56"/>
      <c r="Q220"/>
      <c r="R220"/>
      <c r="S220"/>
      <c r="T220"/>
      <c r="U220"/>
      <c r="V220"/>
      <c r="W220"/>
    </row>
    <row r="221" spans="1:23">
      <c r="A221" s="56"/>
      <c r="B221" s="56"/>
      <c r="C221" s="56"/>
      <c r="D221" s="56"/>
      <c r="E221" s="56"/>
      <c r="F221" s="56"/>
      <c r="G221" s="56"/>
      <c r="Q221"/>
      <c r="R221"/>
      <c r="S221"/>
      <c r="T221"/>
      <c r="U221"/>
      <c r="V221"/>
      <c r="W221"/>
    </row>
    <row r="222" spans="1:23">
      <c r="A222" s="56"/>
      <c r="B222" s="56"/>
      <c r="C222" s="56"/>
      <c r="D222" s="56"/>
      <c r="E222" s="56"/>
      <c r="F222" s="56"/>
      <c r="G222" s="56"/>
      <c r="Q222"/>
      <c r="R222"/>
      <c r="S222"/>
      <c r="T222"/>
      <c r="U222"/>
      <c r="V222"/>
      <c r="W222"/>
    </row>
    <row r="223" spans="1:23">
      <c r="A223" s="56"/>
      <c r="B223" s="56"/>
      <c r="C223" s="56"/>
      <c r="D223" s="56"/>
      <c r="E223" s="56"/>
      <c r="F223" s="56"/>
      <c r="G223" s="56"/>
      <c r="Q223"/>
      <c r="R223"/>
      <c r="S223"/>
      <c r="T223"/>
      <c r="U223"/>
      <c r="V223"/>
      <c r="W223"/>
    </row>
    <row r="224" spans="1:23">
      <c r="A224" s="56"/>
      <c r="B224" s="56"/>
      <c r="C224" s="56"/>
      <c r="D224" s="56"/>
      <c r="E224" s="56"/>
      <c r="F224" s="56"/>
      <c r="G224" s="56"/>
      <c r="Q224"/>
      <c r="R224"/>
      <c r="S224"/>
      <c r="T224"/>
      <c r="U224"/>
      <c r="V224"/>
      <c r="W224"/>
    </row>
    <row r="225" spans="1:23">
      <c r="A225" s="56"/>
      <c r="B225" s="56"/>
      <c r="C225" s="56"/>
      <c r="D225" s="56"/>
      <c r="E225" s="56"/>
      <c r="F225" s="56"/>
      <c r="G225" s="56"/>
      <c r="Q225"/>
      <c r="R225"/>
      <c r="S225"/>
      <c r="T225"/>
      <c r="U225"/>
      <c r="V225"/>
      <c r="W225"/>
    </row>
    <row r="226" spans="1:23">
      <c r="A226" s="56"/>
      <c r="B226" s="56"/>
      <c r="C226" s="56"/>
      <c r="D226" s="56"/>
      <c r="E226" s="56"/>
      <c r="F226" s="56"/>
      <c r="G226" s="56"/>
      <c r="Q226"/>
      <c r="R226"/>
      <c r="S226"/>
      <c r="T226"/>
      <c r="U226"/>
      <c r="V226"/>
      <c r="W226"/>
    </row>
    <row r="227" spans="1:23">
      <c r="A227" s="56"/>
      <c r="B227" s="56"/>
      <c r="C227" s="56"/>
      <c r="D227" s="56"/>
      <c r="E227" s="56"/>
      <c r="F227" s="56"/>
      <c r="G227" s="56"/>
      <c r="Q227"/>
      <c r="R227"/>
      <c r="S227"/>
      <c r="T227"/>
      <c r="U227"/>
      <c r="V227"/>
      <c r="W227"/>
    </row>
    <row r="228" spans="1:23">
      <c r="A228" s="56"/>
      <c r="B228" s="56"/>
      <c r="C228" s="56"/>
      <c r="D228" s="56"/>
      <c r="E228" s="56"/>
      <c r="F228" s="56"/>
      <c r="G228" s="56"/>
      <c r="Q228"/>
      <c r="R228"/>
      <c r="S228"/>
      <c r="T228"/>
      <c r="U228"/>
      <c r="V228"/>
      <c r="W228"/>
    </row>
    <row r="229" spans="1:23">
      <c r="A229" s="56"/>
      <c r="B229" s="56"/>
      <c r="C229" s="56"/>
      <c r="D229" s="56"/>
      <c r="E229" s="56"/>
      <c r="F229" s="56"/>
      <c r="G229" s="56"/>
      <c r="Q229"/>
      <c r="R229"/>
      <c r="S229"/>
      <c r="T229"/>
      <c r="U229"/>
      <c r="V229"/>
      <c r="W229"/>
    </row>
    <row r="230" spans="1:23">
      <c r="A230" s="56"/>
      <c r="B230" s="56"/>
      <c r="C230" s="56"/>
      <c r="D230" s="56"/>
      <c r="E230" s="56"/>
      <c r="F230" s="56"/>
      <c r="G230" s="56"/>
      <c r="Q230"/>
      <c r="R230"/>
      <c r="S230"/>
      <c r="T230"/>
      <c r="U230"/>
      <c r="V230"/>
      <c r="W230"/>
    </row>
    <row r="231" spans="1:23">
      <c r="A231" s="56"/>
      <c r="B231" s="56"/>
      <c r="C231" s="56"/>
      <c r="D231" s="56"/>
      <c r="E231" s="56"/>
      <c r="F231" s="56"/>
      <c r="G231" s="56"/>
      <c r="Q231"/>
      <c r="R231"/>
      <c r="S231"/>
      <c r="T231"/>
      <c r="U231"/>
      <c r="V231"/>
      <c r="W231"/>
    </row>
    <row r="232" spans="1:23">
      <c r="A232" s="56"/>
      <c r="B232" s="56"/>
      <c r="C232" s="56"/>
      <c r="D232" s="56"/>
      <c r="E232" s="56"/>
      <c r="F232" s="56"/>
      <c r="G232" s="56"/>
      <c r="Q232"/>
      <c r="R232"/>
      <c r="S232"/>
      <c r="T232"/>
      <c r="U232"/>
      <c r="V232"/>
      <c r="W232"/>
    </row>
    <row r="233" spans="1:23">
      <c r="A233" s="56"/>
      <c r="B233" s="56"/>
      <c r="C233" s="56"/>
      <c r="D233" s="56"/>
      <c r="E233" s="56"/>
      <c r="F233" s="56"/>
      <c r="G233" s="56"/>
      <c r="Q233"/>
      <c r="R233"/>
      <c r="S233"/>
      <c r="T233"/>
      <c r="U233"/>
      <c r="V233"/>
      <c r="W233"/>
    </row>
    <row r="234" spans="1:23">
      <c r="A234" s="56"/>
      <c r="B234" s="56"/>
      <c r="C234" s="56"/>
      <c r="D234" s="56"/>
      <c r="E234" s="56"/>
      <c r="F234" s="56"/>
      <c r="G234" s="56"/>
      <c r="Q234"/>
      <c r="R234"/>
      <c r="S234"/>
      <c r="T234"/>
      <c r="U234"/>
      <c r="V234"/>
      <c r="W234"/>
    </row>
    <row r="235" spans="1:23">
      <c r="A235" s="56"/>
      <c r="B235" s="56"/>
      <c r="C235" s="56"/>
      <c r="D235" s="56"/>
      <c r="E235" s="56"/>
      <c r="F235" s="56"/>
      <c r="G235" s="56"/>
      <c r="Q235"/>
      <c r="R235"/>
      <c r="S235"/>
      <c r="T235"/>
      <c r="U235"/>
      <c r="V235"/>
      <c r="W235"/>
    </row>
    <row r="236" spans="1:23">
      <c r="A236" s="56"/>
      <c r="B236" s="56"/>
      <c r="C236" s="56"/>
      <c r="D236" s="56"/>
      <c r="E236" s="56"/>
      <c r="F236" s="56"/>
      <c r="G236" s="56"/>
      <c r="Q236"/>
      <c r="R236"/>
      <c r="S236"/>
      <c r="T236"/>
      <c r="U236"/>
      <c r="V236"/>
      <c r="W236"/>
    </row>
    <row r="237" spans="1:23">
      <c r="A237" s="56"/>
      <c r="B237" s="56"/>
      <c r="C237" s="56"/>
      <c r="D237" s="56"/>
      <c r="E237" s="56"/>
      <c r="F237" s="56"/>
      <c r="G237" s="56"/>
      <c r="Q237"/>
      <c r="R237"/>
      <c r="S237"/>
      <c r="T237"/>
      <c r="U237"/>
      <c r="V237"/>
      <c r="W237"/>
    </row>
    <row r="238" spans="1:23">
      <c r="A238" s="56"/>
      <c r="B238" s="56"/>
      <c r="C238" s="56"/>
      <c r="D238" s="56"/>
      <c r="E238" s="56"/>
      <c r="F238" s="56"/>
      <c r="G238" s="56"/>
      <c r="Q238"/>
      <c r="R238"/>
      <c r="S238"/>
      <c r="T238"/>
      <c r="U238"/>
      <c r="V238"/>
      <c r="W238"/>
    </row>
    <row r="239" spans="1:23">
      <c r="A239" s="56"/>
      <c r="B239" s="56"/>
      <c r="C239" s="56"/>
      <c r="D239" s="56"/>
      <c r="E239" s="56"/>
      <c r="F239" s="56"/>
      <c r="G239" s="56"/>
      <c r="Q239"/>
      <c r="R239"/>
      <c r="S239"/>
      <c r="T239"/>
      <c r="U239"/>
      <c r="V239"/>
      <c r="W239"/>
    </row>
    <row r="240" spans="1:23">
      <c r="A240" s="56"/>
      <c r="B240" s="56"/>
      <c r="C240" s="56"/>
      <c r="D240" s="56"/>
      <c r="E240" s="56"/>
      <c r="F240" s="56"/>
      <c r="G240" s="56"/>
      <c r="Q240"/>
      <c r="R240"/>
      <c r="S240"/>
      <c r="T240"/>
      <c r="U240"/>
      <c r="V240"/>
      <c r="W240"/>
    </row>
    <row r="241" spans="1:23">
      <c r="A241" s="56"/>
      <c r="B241" s="56"/>
      <c r="C241" s="56"/>
      <c r="D241" s="56"/>
      <c r="E241" s="56"/>
      <c r="F241" s="56"/>
      <c r="G241" s="56"/>
      <c r="Q241"/>
      <c r="R241"/>
      <c r="S241"/>
      <c r="T241"/>
      <c r="U241"/>
      <c r="V241"/>
      <c r="W241"/>
    </row>
    <row r="242" spans="1:23">
      <c r="A242" s="56"/>
      <c r="B242" s="56"/>
      <c r="C242" s="56"/>
      <c r="D242" s="56"/>
      <c r="E242" s="56"/>
      <c r="F242" s="56"/>
      <c r="G242" s="56"/>
      <c r="Q242"/>
      <c r="R242"/>
      <c r="S242"/>
      <c r="T242"/>
      <c r="U242"/>
      <c r="V242"/>
      <c r="W242"/>
    </row>
    <row r="243" spans="1:23">
      <c r="A243" s="56"/>
      <c r="B243" s="56"/>
      <c r="C243" s="56"/>
      <c r="D243" s="56"/>
      <c r="E243" s="56"/>
      <c r="F243" s="56"/>
      <c r="G243" s="56"/>
      <c r="Q243"/>
      <c r="R243"/>
      <c r="S243"/>
      <c r="T243"/>
      <c r="U243"/>
      <c r="V243"/>
      <c r="W243"/>
    </row>
    <row r="244" spans="1:23">
      <c r="A244" s="56"/>
      <c r="B244" s="56"/>
      <c r="C244" s="56"/>
      <c r="D244" s="56"/>
      <c r="E244" s="56"/>
      <c r="F244" s="56"/>
      <c r="G244" s="56"/>
      <c r="Q244"/>
      <c r="R244"/>
      <c r="S244"/>
      <c r="T244"/>
      <c r="U244"/>
      <c r="V244"/>
      <c r="W244"/>
    </row>
    <row r="245" spans="1:23">
      <c r="A245" s="56"/>
      <c r="B245" s="56"/>
      <c r="C245" s="56"/>
      <c r="D245" s="56"/>
      <c r="E245" s="56"/>
      <c r="F245" s="56"/>
      <c r="G245" s="56"/>
      <c r="Q245"/>
      <c r="R245"/>
      <c r="S245"/>
      <c r="T245"/>
      <c r="U245"/>
      <c r="V245"/>
      <c r="W245"/>
    </row>
    <row r="246" spans="1:23">
      <c r="A246" s="56"/>
      <c r="B246" s="56"/>
      <c r="C246" s="56"/>
      <c r="D246" s="56"/>
      <c r="E246" s="56"/>
      <c r="F246" s="56"/>
      <c r="G246" s="56"/>
      <c r="Q246"/>
      <c r="R246"/>
      <c r="S246"/>
      <c r="T246"/>
      <c r="U246"/>
      <c r="V246"/>
      <c r="W246"/>
    </row>
    <row r="247" spans="1:23">
      <c r="A247" s="56"/>
      <c r="B247" s="56"/>
      <c r="C247" s="56"/>
      <c r="D247" s="56"/>
      <c r="E247" s="56"/>
      <c r="F247" s="56"/>
      <c r="G247" s="56"/>
      <c r="Q247"/>
      <c r="R247"/>
      <c r="S247"/>
      <c r="T247"/>
      <c r="U247"/>
      <c r="V247"/>
      <c r="W247"/>
    </row>
    <row r="248" spans="1:23">
      <c r="A248" s="56"/>
      <c r="B248" s="56"/>
      <c r="C248" s="56"/>
      <c r="D248" s="56"/>
      <c r="E248" s="56"/>
      <c r="F248" s="56"/>
      <c r="G248" s="56"/>
      <c r="Q248"/>
      <c r="R248"/>
      <c r="S248"/>
      <c r="T248"/>
      <c r="U248"/>
      <c r="V248"/>
      <c r="W248"/>
    </row>
    <row r="249" spans="1:23">
      <c r="A249" s="56"/>
      <c r="B249" s="56"/>
      <c r="C249" s="56"/>
      <c r="D249" s="56"/>
      <c r="E249" s="56"/>
      <c r="F249" s="56"/>
      <c r="G249" s="56"/>
      <c r="Q249"/>
      <c r="R249"/>
      <c r="S249"/>
      <c r="T249"/>
      <c r="U249"/>
      <c r="V249"/>
      <c r="W249"/>
    </row>
    <row r="250" spans="1:23">
      <c r="A250" s="56"/>
      <c r="B250" s="56"/>
      <c r="C250" s="56"/>
      <c r="D250" s="56"/>
      <c r="E250" s="56"/>
      <c r="F250" s="56"/>
      <c r="G250" s="56"/>
      <c r="Q250"/>
      <c r="R250"/>
      <c r="S250"/>
      <c r="T250"/>
      <c r="U250"/>
      <c r="V250"/>
      <c r="W250"/>
    </row>
    <row r="251" spans="1:23">
      <c r="A251" s="56"/>
      <c r="B251" s="56"/>
      <c r="C251" s="56"/>
      <c r="D251" s="56"/>
      <c r="E251" s="56"/>
      <c r="F251" s="56"/>
      <c r="G251" s="56"/>
      <c r="Q251"/>
      <c r="R251"/>
      <c r="S251"/>
      <c r="T251"/>
      <c r="U251"/>
      <c r="V251"/>
      <c r="W251"/>
    </row>
    <row r="252" spans="1:23">
      <c r="A252" s="56"/>
      <c r="B252" s="56"/>
      <c r="C252" s="56"/>
      <c r="D252" s="56"/>
      <c r="E252" s="56"/>
      <c r="F252" s="56"/>
      <c r="G252" s="56"/>
      <c r="Q252"/>
      <c r="R252"/>
      <c r="S252"/>
      <c r="T252"/>
      <c r="U252"/>
      <c r="V252"/>
      <c r="W252"/>
    </row>
    <row r="253" spans="1:23">
      <c r="A253" s="56"/>
      <c r="B253" s="56"/>
      <c r="C253" s="56"/>
      <c r="D253" s="56"/>
      <c r="E253" s="56"/>
      <c r="F253" s="56"/>
      <c r="G253" s="56"/>
      <c r="Q253"/>
      <c r="R253"/>
      <c r="S253"/>
      <c r="T253"/>
      <c r="U253"/>
      <c r="V253"/>
      <c r="W253"/>
    </row>
    <row r="254" spans="1:23">
      <c r="A254" s="56"/>
      <c r="B254" s="56"/>
      <c r="C254" s="56"/>
      <c r="D254" s="56"/>
      <c r="E254" s="56"/>
      <c r="F254" s="56"/>
      <c r="G254" s="56"/>
      <c r="Q254"/>
      <c r="R254"/>
      <c r="S254"/>
      <c r="T254"/>
      <c r="U254"/>
      <c r="V254"/>
      <c r="W254"/>
    </row>
    <row r="255" spans="1:23">
      <c r="A255" s="56"/>
      <c r="B255" s="56"/>
      <c r="C255" s="56"/>
      <c r="D255" s="56"/>
      <c r="E255" s="56"/>
      <c r="F255" s="56"/>
      <c r="G255" s="56"/>
      <c r="Q255"/>
      <c r="R255"/>
      <c r="S255"/>
      <c r="T255"/>
      <c r="U255"/>
      <c r="V255"/>
      <c r="W255"/>
    </row>
    <row r="256" spans="1:23">
      <c r="A256" s="56"/>
      <c r="B256" s="56"/>
      <c r="C256" s="56"/>
      <c r="D256" s="56"/>
      <c r="E256" s="56"/>
      <c r="F256" s="56"/>
      <c r="G256" s="56"/>
      <c r="Q256"/>
      <c r="R256"/>
      <c r="S256"/>
      <c r="T256"/>
      <c r="U256"/>
      <c r="V256"/>
      <c r="W256"/>
    </row>
    <row r="257" spans="1:23">
      <c r="A257" s="56"/>
      <c r="B257" s="56"/>
      <c r="C257" s="56"/>
      <c r="D257" s="56"/>
      <c r="E257" s="56"/>
      <c r="F257" s="56"/>
      <c r="G257" s="56"/>
      <c r="Q257"/>
      <c r="R257"/>
      <c r="S257"/>
      <c r="T257"/>
      <c r="U257"/>
      <c r="V257"/>
      <c r="W257"/>
    </row>
    <row r="258" spans="1:23">
      <c r="A258" s="56"/>
      <c r="B258" s="56"/>
      <c r="C258" s="56"/>
      <c r="D258" s="56"/>
      <c r="E258" s="56"/>
      <c r="F258" s="56"/>
      <c r="G258" s="56"/>
      <c r="Q258"/>
      <c r="R258"/>
      <c r="S258"/>
      <c r="T258"/>
      <c r="U258"/>
      <c r="V258"/>
      <c r="W258"/>
    </row>
    <row r="259" spans="1:23">
      <c r="A259" s="56"/>
      <c r="B259" s="56"/>
      <c r="C259" s="56"/>
      <c r="D259" s="56"/>
      <c r="E259" s="56"/>
      <c r="F259" s="56"/>
      <c r="G259" s="56"/>
      <c r="Q259"/>
      <c r="R259"/>
      <c r="S259"/>
      <c r="T259"/>
      <c r="U259"/>
      <c r="V259"/>
      <c r="W259"/>
    </row>
    <row r="260" spans="1:23">
      <c r="A260" s="56"/>
      <c r="B260" s="56"/>
      <c r="C260" s="56"/>
      <c r="D260" s="56"/>
      <c r="E260" s="56"/>
      <c r="F260" s="56"/>
      <c r="G260" s="56"/>
      <c r="Q260"/>
      <c r="R260"/>
      <c r="S260"/>
      <c r="T260"/>
      <c r="U260"/>
      <c r="V260"/>
      <c r="W260"/>
    </row>
    <row r="261" spans="1:23">
      <c r="A261" s="56"/>
      <c r="B261" s="56"/>
      <c r="C261" s="56"/>
      <c r="D261" s="56"/>
      <c r="E261" s="56"/>
      <c r="F261" s="56"/>
      <c r="G261" s="56"/>
      <c r="Q261"/>
      <c r="R261"/>
      <c r="S261"/>
      <c r="T261"/>
      <c r="U261"/>
      <c r="V261"/>
      <c r="W261"/>
    </row>
    <row r="262" spans="1:23">
      <c r="A262" s="56"/>
      <c r="B262" s="56"/>
      <c r="C262" s="56"/>
      <c r="D262" s="56"/>
      <c r="E262" s="56"/>
      <c r="F262" s="56"/>
      <c r="G262" s="56"/>
      <c r="Q262"/>
      <c r="R262"/>
      <c r="S262"/>
      <c r="T262"/>
      <c r="U262"/>
      <c r="V262"/>
      <c r="W262"/>
    </row>
    <row r="263" spans="1:23">
      <c r="A263" s="56"/>
      <c r="B263" s="56"/>
      <c r="C263" s="56"/>
      <c r="D263" s="56"/>
      <c r="E263" s="56"/>
      <c r="F263" s="56"/>
      <c r="G263" s="56"/>
      <c r="Q263"/>
      <c r="R263"/>
      <c r="S263"/>
      <c r="T263"/>
      <c r="U263"/>
      <c r="V263"/>
      <c r="W263"/>
    </row>
    <row r="264" spans="1:23">
      <c r="A264" s="56"/>
      <c r="B264" s="56"/>
      <c r="C264" s="56"/>
      <c r="D264" s="56"/>
      <c r="E264" s="56"/>
      <c r="F264" s="56"/>
      <c r="G264" s="56"/>
      <c r="Q264"/>
      <c r="R264"/>
      <c r="S264"/>
      <c r="T264"/>
      <c r="U264"/>
      <c r="V264"/>
      <c r="W264"/>
    </row>
    <row r="265" spans="1:23">
      <c r="A265" s="56"/>
      <c r="B265" s="56"/>
      <c r="C265" s="56"/>
      <c r="D265" s="56"/>
      <c r="E265" s="56"/>
      <c r="F265" s="56"/>
      <c r="G265" s="56"/>
      <c r="Q265"/>
      <c r="R265"/>
      <c r="S265"/>
      <c r="T265"/>
      <c r="U265"/>
      <c r="V265"/>
      <c r="W265"/>
    </row>
    <row r="266" spans="1:23">
      <c r="A266" s="56"/>
      <c r="B266" s="56"/>
      <c r="C266" s="56"/>
      <c r="D266" s="56"/>
      <c r="E266" s="56"/>
      <c r="F266" s="56"/>
      <c r="G266" s="56"/>
      <c r="Q266"/>
      <c r="R266"/>
      <c r="S266"/>
      <c r="T266"/>
      <c r="U266"/>
      <c r="V266"/>
      <c r="W266"/>
    </row>
    <row r="267" spans="1:23">
      <c r="A267" s="56"/>
      <c r="B267" s="56"/>
      <c r="C267" s="56"/>
      <c r="D267" s="56"/>
      <c r="E267" s="56"/>
      <c r="F267" s="56"/>
      <c r="G267" s="56"/>
      <c r="Q267"/>
      <c r="R267"/>
      <c r="S267"/>
      <c r="T267"/>
      <c r="U267"/>
      <c r="V267"/>
      <c r="W267"/>
    </row>
    <row r="268" spans="1:23">
      <c r="A268" s="56"/>
      <c r="B268" s="56"/>
      <c r="C268" s="56"/>
      <c r="D268" s="56"/>
      <c r="E268" s="56"/>
      <c r="F268" s="56"/>
      <c r="G268" s="56"/>
      <c r="Q268"/>
      <c r="R268"/>
      <c r="S268"/>
      <c r="T268"/>
      <c r="U268"/>
      <c r="V268"/>
      <c r="W268"/>
    </row>
    <row r="269" spans="1:23">
      <c r="A269" s="56"/>
      <c r="B269" s="56"/>
      <c r="C269" s="56"/>
      <c r="D269" s="56"/>
      <c r="E269" s="56"/>
      <c r="F269" s="56"/>
      <c r="G269" s="56"/>
      <c r="Q269"/>
      <c r="R269"/>
      <c r="S269"/>
      <c r="T269"/>
      <c r="U269"/>
      <c r="V269"/>
      <c r="W269"/>
    </row>
    <row r="270" spans="1:23">
      <c r="A270" s="56"/>
      <c r="B270" s="56"/>
      <c r="C270" s="56"/>
      <c r="D270" s="56"/>
      <c r="E270" s="56"/>
      <c r="F270" s="56"/>
      <c r="G270" s="56"/>
      <c r="Q270"/>
      <c r="R270"/>
      <c r="S270"/>
      <c r="T270"/>
      <c r="U270"/>
      <c r="V270"/>
      <c r="W270"/>
    </row>
    <row r="271" spans="1:23">
      <c r="A271" s="56"/>
      <c r="B271" s="56"/>
      <c r="C271" s="56"/>
      <c r="D271" s="56"/>
      <c r="E271" s="56"/>
      <c r="F271" s="56"/>
      <c r="G271" s="56"/>
      <c r="Q271"/>
      <c r="R271"/>
      <c r="S271"/>
      <c r="T271"/>
      <c r="U271"/>
      <c r="V271"/>
      <c r="W271"/>
    </row>
    <row r="272" spans="1:23">
      <c r="A272" s="56"/>
      <c r="B272" s="56"/>
      <c r="C272" s="56"/>
      <c r="D272" s="56"/>
      <c r="E272" s="56"/>
      <c r="F272" s="56"/>
      <c r="G272" s="56"/>
      <c r="Q272"/>
      <c r="R272"/>
      <c r="S272"/>
      <c r="T272"/>
      <c r="U272"/>
      <c r="V272"/>
      <c r="W272"/>
    </row>
    <row r="273" spans="1:23">
      <c r="A273" s="56"/>
      <c r="B273" s="56"/>
      <c r="C273" s="56"/>
      <c r="D273" s="56"/>
      <c r="E273" s="56"/>
      <c r="F273" s="56"/>
      <c r="G273" s="56"/>
      <c r="Q273"/>
      <c r="R273"/>
      <c r="S273"/>
      <c r="T273"/>
      <c r="U273"/>
      <c r="V273"/>
      <c r="W273"/>
    </row>
    <row r="274" spans="1:23">
      <c r="A274" s="56"/>
      <c r="B274" s="56"/>
      <c r="C274" s="56"/>
      <c r="D274" s="56"/>
      <c r="E274" s="56"/>
      <c r="F274" s="56"/>
      <c r="G274" s="56"/>
      <c r="Q274"/>
      <c r="R274"/>
      <c r="S274"/>
      <c r="T274"/>
      <c r="U274"/>
      <c r="V274"/>
      <c r="W274"/>
    </row>
    <row r="275" spans="1:23">
      <c r="A275" s="56"/>
      <c r="B275" s="56"/>
      <c r="C275" s="56"/>
      <c r="D275" s="56"/>
      <c r="E275" s="56"/>
      <c r="F275" s="56"/>
      <c r="G275" s="56"/>
      <c r="Q275"/>
      <c r="R275"/>
      <c r="S275"/>
      <c r="T275"/>
      <c r="U275"/>
      <c r="V275"/>
      <c r="W275"/>
    </row>
    <row r="276" spans="1:23">
      <c r="A276" s="56"/>
      <c r="B276" s="56"/>
      <c r="C276" s="56"/>
      <c r="D276" s="56"/>
      <c r="E276" s="56"/>
      <c r="F276" s="56"/>
      <c r="G276" s="56"/>
      <c r="Q276"/>
      <c r="R276"/>
      <c r="S276"/>
      <c r="T276"/>
      <c r="U276"/>
      <c r="V276"/>
      <c r="W276"/>
    </row>
    <row r="277" spans="1:23">
      <c r="A277" s="56"/>
      <c r="B277" s="56"/>
      <c r="C277" s="56"/>
      <c r="D277" s="56"/>
      <c r="E277" s="56"/>
      <c r="F277" s="56"/>
      <c r="G277" s="56"/>
      <c r="Q277"/>
      <c r="R277"/>
      <c r="S277"/>
      <c r="T277"/>
      <c r="U277"/>
      <c r="V277"/>
      <c r="W277"/>
    </row>
    <row r="278" spans="1:23">
      <c r="A278" s="56"/>
      <c r="B278" s="56"/>
      <c r="C278" s="56"/>
      <c r="D278" s="56"/>
      <c r="E278" s="56"/>
      <c r="F278" s="56"/>
      <c r="G278" s="56"/>
      <c r="Q278"/>
      <c r="R278"/>
      <c r="S278"/>
      <c r="T278"/>
      <c r="U278"/>
      <c r="V278"/>
      <c r="W278"/>
    </row>
    <row r="279" spans="1:23">
      <c r="A279" s="56"/>
      <c r="B279" s="56"/>
      <c r="C279" s="56"/>
      <c r="D279" s="56"/>
      <c r="E279" s="56"/>
      <c r="F279" s="56"/>
      <c r="G279" s="56"/>
      <c r="Q279"/>
      <c r="R279"/>
      <c r="S279"/>
      <c r="T279"/>
      <c r="U279"/>
      <c r="V279"/>
      <c r="W279"/>
    </row>
    <row r="280" spans="1:23">
      <c r="A280" s="56"/>
      <c r="B280" s="56"/>
      <c r="C280" s="56"/>
      <c r="D280" s="56"/>
      <c r="E280" s="56"/>
      <c r="F280" s="56"/>
      <c r="G280" s="56"/>
      <c r="Q280"/>
      <c r="R280"/>
      <c r="S280"/>
      <c r="T280"/>
      <c r="U280"/>
      <c r="V280"/>
      <c r="W280"/>
    </row>
    <row r="281" spans="1:23">
      <c r="A281" s="56"/>
      <c r="B281" s="56"/>
      <c r="C281" s="56"/>
      <c r="D281" s="56"/>
      <c r="E281" s="56"/>
      <c r="F281" s="56"/>
      <c r="G281" s="56"/>
      <c r="Q281"/>
      <c r="R281"/>
      <c r="S281"/>
      <c r="T281"/>
      <c r="U281"/>
      <c r="V281"/>
      <c r="W281"/>
    </row>
    <row r="282" spans="1:23">
      <c r="A282" s="56"/>
      <c r="B282" s="56"/>
      <c r="C282" s="56"/>
      <c r="D282" s="56"/>
      <c r="E282" s="56"/>
      <c r="F282" s="56"/>
      <c r="G282" s="56"/>
      <c r="Q282"/>
      <c r="R282"/>
      <c r="S282"/>
      <c r="T282"/>
      <c r="U282"/>
      <c r="V282"/>
      <c r="W282"/>
    </row>
    <row r="283" spans="1:23">
      <c r="A283" s="56"/>
      <c r="B283" s="56"/>
      <c r="C283" s="56"/>
      <c r="D283" s="56"/>
      <c r="E283" s="56"/>
      <c r="F283" s="56"/>
      <c r="G283" s="56"/>
      <c r="Q283"/>
      <c r="R283"/>
      <c r="S283"/>
      <c r="T283"/>
      <c r="U283"/>
      <c r="V283"/>
      <c r="W283"/>
    </row>
    <row r="284" spans="1:23">
      <c r="A284" s="56"/>
      <c r="B284" s="56"/>
      <c r="C284" s="56"/>
      <c r="D284" s="56"/>
      <c r="E284" s="56"/>
      <c r="F284" s="56"/>
      <c r="G284" s="56"/>
      <c r="Q284"/>
      <c r="R284"/>
      <c r="S284"/>
      <c r="T284"/>
      <c r="U284"/>
      <c r="V284"/>
      <c r="W284"/>
    </row>
    <row r="285" spans="1:23">
      <c r="A285" s="56"/>
      <c r="B285" s="56"/>
      <c r="C285" s="56"/>
      <c r="D285" s="56"/>
      <c r="E285" s="56"/>
      <c r="F285" s="56"/>
      <c r="G285" s="56"/>
      <c r="Q285"/>
      <c r="R285"/>
      <c r="S285"/>
      <c r="T285"/>
      <c r="U285"/>
      <c r="V285"/>
      <c r="W285"/>
    </row>
    <row r="286" spans="1:23">
      <c r="A286" s="56"/>
      <c r="B286" s="56"/>
      <c r="C286" s="56"/>
      <c r="D286" s="56"/>
      <c r="E286" s="56"/>
      <c r="F286" s="56"/>
      <c r="G286" s="56"/>
      <c r="Q286"/>
      <c r="R286"/>
      <c r="S286"/>
      <c r="T286"/>
      <c r="U286"/>
      <c r="V286"/>
      <c r="W286"/>
    </row>
    <row r="287" spans="1:23">
      <c r="A287" s="56"/>
      <c r="B287" s="56"/>
      <c r="C287" s="56"/>
      <c r="D287" s="56"/>
      <c r="E287" s="56"/>
      <c r="F287" s="56"/>
      <c r="G287" s="56"/>
      <c r="Q287"/>
      <c r="R287"/>
      <c r="S287"/>
      <c r="T287"/>
      <c r="U287"/>
      <c r="V287"/>
      <c r="W287"/>
    </row>
    <row r="288" spans="1:23">
      <c r="A288" s="56"/>
      <c r="B288" s="56"/>
      <c r="C288" s="56"/>
      <c r="D288" s="56"/>
      <c r="E288" s="56"/>
      <c r="F288" s="56"/>
      <c r="G288" s="56"/>
      <c r="Q288"/>
      <c r="R288"/>
      <c r="S288"/>
      <c r="T288"/>
      <c r="U288"/>
      <c r="V288"/>
      <c r="W288"/>
    </row>
    <row r="289" spans="1:23">
      <c r="A289" s="56"/>
      <c r="B289" s="56"/>
      <c r="C289" s="56"/>
      <c r="D289" s="56"/>
      <c r="E289" s="56"/>
      <c r="F289" s="56"/>
      <c r="G289" s="56"/>
      <c r="Q289"/>
      <c r="R289"/>
      <c r="S289"/>
      <c r="T289"/>
      <c r="U289"/>
      <c r="V289"/>
      <c r="W289"/>
    </row>
    <row r="290" spans="1:23">
      <c r="A290" s="56"/>
      <c r="B290" s="56"/>
      <c r="C290" s="56"/>
      <c r="D290" s="56"/>
      <c r="E290" s="56"/>
      <c r="F290" s="56"/>
      <c r="G290" s="56"/>
      <c r="Q290"/>
      <c r="R290"/>
      <c r="S290"/>
      <c r="T290"/>
      <c r="U290"/>
      <c r="V290"/>
      <c r="W290"/>
    </row>
    <row r="291" spans="1:23">
      <c r="A291" s="56"/>
      <c r="B291" s="56"/>
      <c r="C291" s="56"/>
      <c r="D291" s="56"/>
      <c r="E291" s="56"/>
      <c r="F291" s="56"/>
      <c r="G291" s="56"/>
      <c r="Q291"/>
      <c r="R291"/>
      <c r="S291"/>
      <c r="T291"/>
      <c r="U291"/>
      <c r="V291"/>
      <c r="W291"/>
    </row>
    <row r="292" spans="1:23">
      <c r="A292" s="56"/>
      <c r="B292" s="56"/>
      <c r="C292" s="56"/>
      <c r="D292" s="56"/>
      <c r="E292" s="56"/>
      <c r="F292" s="56"/>
      <c r="G292" s="56"/>
      <c r="Q292"/>
      <c r="R292"/>
      <c r="S292"/>
      <c r="T292"/>
      <c r="U292"/>
      <c r="V292"/>
      <c r="W292"/>
    </row>
    <row r="293" spans="1:23">
      <c r="A293" s="56"/>
      <c r="B293" s="56"/>
      <c r="C293" s="56"/>
      <c r="D293" s="56"/>
      <c r="E293" s="56"/>
      <c r="F293" s="56"/>
      <c r="G293" s="56"/>
      <c r="Q293"/>
      <c r="R293"/>
      <c r="S293"/>
      <c r="T293"/>
      <c r="U293"/>
      <c r="V293"/>
      <c r="W293"/>
    </row>
    <row r="294" spans="1:23">
      <c r="A294" s="56"/>
      <c r="B294" s="56"/>
      <c r="C294" s="56"/>
      <c r="D294" s="56"/>
      <c r="E294" s="56"/>
      <c r="F294" s="56"/>
      <c r="G294" s="56"/>
      <c r="Q294"/>
      <c r="R294"/>
      <c r="S294"/>
      <c r="T294"/>
      <c r="U294"/>
      <c r="V294"/>
      <c r="W294"/>
    </row>
    <row r="295" spans="1:23">
      <c r="A295" s="56"/>
      <c r="B295" s="56"/>
      <c r="C295" s="56"/>
      <c r="D295" s="56"/>
      <c r="E295" s="56"/>
      <c r="F295" s="56"/>
      <c r="G295" s="56"/>
      <c r="Q295"/>
      <c r="R295"/>
      <c r="S295"/>
      <c r="T295"/>
      <c r="U295"/>
      <c r="V295"/>
      <c r="W295"/>
    </row>
    <row r="296" spans="1:23">
      <c r="A296" s="56"/>
      <c r="B296" s="56"/>
      <c r="C296" s="56"/>
      <c r="D296" s="56"/>
      <c r="E296" s="56"/>
      <c r="F296" s="56"/>
      <c r="G296" s="56"/>
      <c r="Q296"/>
      <c r="R296"/>
      <c r="S296"/>
      <c r="T296"/>
      <c r="U296"/>
      <c r="V296"/>
      <c r="W296"/>
    </row>
    <row r="297" spans="1:23">
      <c r="A297" s="56"/>
      <c r="B297" s="56"/>
      <c r="C297" s="56"/>
      <c r="D297" s="56"/>
      <c r="E297" s="56"/>
      <c r="F297" s="56"/>
      <c r="G297" s="56"/>
      <c r="Q297"/>
      <c r="R297"/>
      <c r="S297"/>
      <c r="T297"/>
      <c r="U297"/>
      <c r="V297"/>
      <c r="W297"/>
    </row>
    <row r="298" spans="1:23">
      <c r="A298" s="56"/>
      <c r="B298" s="56"/>
      <c r="C298" s="56"/>
      <c r="D298" s="56"/>
      <c r="E298" s="56"/>
      <c r="F298" s="56"/>
      <c r="G298" s="56"/>
      <c r="Q298"/>
      <c r="R298"/>
      <c r="S298"/>
      <c r="T298"/>
      <c r="U298"/>
      <c r="V298"/>
      <c r="W298"/>
    </row>
    <row r="299" spans="1:23">
      <c r="A299" s="56"/>
      <c r="B299" s="56"/>
      <c r="C299" s="56"/>
      <c r="D299" s="56"/>
      <c r="E299" s="56"/>
      <c r="F299" s="56"/>
      <c r="G299" s="56"/>
      <c r="Q299"/>
      <c r="R299"/>
      <c r="S299"/>
      <c r="T299"/>
      <c r="U299"/>
      <c r="V299"/>
      <c r="W299"/>
    </row>
    <row r="300" spans="1:23">
      <c r="A300" s="56"/>
      <c r="B300" s="56"/>
      <c r="C300" s="56"/>
      <c r="D300" s="56"/>
      <c r="E300" s="56"/>
      <c r="F300" s="56"/>
      <c r="G300" s="56"/>
      <c r="Q300"/>
      <c r="R300"/>
      <c r="S300"/>
      <c r="T300"/>
      <c r="U300"/>
      <c r="V300"/>
      <c r="W300"/>
    </row>
    <row r="301" spans="1:23">
      <c r="A301" s="56"/>
      <c r="B301" s="56"/>
      <c r="C301" s="56"/>
      <c r="D301" s="56"/>
      <c r="E301" s="56"/>
      <c r="F301" s="56"/>
      <c r="G301" s="56"/>
      <c r="Q301"/>
      <c r="R301"/>
      <c r="S301"/>
      <c r="T301"/>
      <c r="U301"/>
      <c r="V301"/>
      <c r="W301"/>
    </row>
    <row r="302" spans="1:23">
      <c r="A302" s="56"/>
      <c r="B302" s="56"/>
      <c r="C302" s="56"/>
      <c r="D302" s="56"/>
      <c r="E302" s="56"/>
      <c r="F302" s="56"/>
      <c r="G302" s="56"/>
      <c r="Q302"/>
      <c r="R302"/>
      <c r="S302"/>
      <c r="T302"/>
      <c r="U302"/>
      <c r="V302"/>
      <c r="W302"/>
    </row>
    <row r="303" spans="1:23">
      <c r="A303" s="56"/>
      <c r="B303" s="56"/>
      <c r="C303" s="56"/>
      <c r="D303" s="56"/>
      <c r="E303" s="56"/>
      <c r="F303" s="56"/>
      <c r="G303" s="56"/>
      <c r="Q303"/>
      <c r="R303"/>
      <c r="S303"/>
      <c r="T303"/>
      <c r="U303"/>
      <c r="V303"/>
      <c r="W303"/>
    </row>
    <row r="304" spans="1:23">
      <c r="A304" s="56"/>
      <c r="B304" s="56"/>
      <c r="C304" s="56"/>
      <c r="D304" s="56"/>
      <c r="E304" s="56"/>
      <c r="F304" s="56"/>
      <c r="G304" s="56"/>
      <c r="Q304"/>
      <c r="R304"/>
      <c r="S304"/>
      <c r="T304"/>
      <c r="U304"/>
      <c r="V304"/>
      <c r="W304"/>
    </row>
    <row r="305" spans="1:23">
      <c r="A305" s="56"/>
      <c r="B305" s="56"/>
      <c r="C305" s="56"/>
      <c r="D305" s="56"/>
      <c r="E305" s="56"/>
      <c r="F305" s="56"/>
      <c r="G305" s="56"/>
      <c r="Q305"/>
      <c r="R305"/>
      <c r="S305"/>
      <c r="T305"/>
      <c r="U305"/>
      <c r="V305"/>
      <c r="W305"/>
    </row>
    <row r="306" spans="1:23">
      <c r="A306" s="56"/>
      <c r="B306" s="56"/>
      <c r="C306" s="56"/>
      <c r="D306" s="56"/>
      <c r="E306" s="56"/>
      <c r="F306" s="56"/>
      <c r="G306" s="56"/>
      <c r="Q306"/>
      <c r="R306"/>
      <c r="S306"/>
      <c r="T306"/>
      <c r="U306"/>
      <c r="V306"/>
      <c r="W306"/>
    </row>
    <row r="307" spans="1:23">
      <c r="A307" s="56"/>
      <c r="B307" s="56"/>
      <c r="C307" s="56"/>
      <c r="D307" s="56"/>
      <c r="E307" s="56"/>
      <c r="F307" s="56"/>
      <c r="G307" s="56"/>
      <c r="Q307"/>
      <c r="R307"/>
      <c r="S307"/>
      <c r="T307"/>
      <c r="U307"/>
      <c r="V307"/>
      <c r="W307"/>
    </row>
    <row r="308" spans="1:23">
      <c r="A308" s="56"/>
      <c r="B308" s="56"/>
      <c r="C308" s="56"/>
      <c r="D308" s="56"/>
      <c r="E308" s="56"/>
      <c r="F308" s="56"/>
      <c r="G308" s="56"/>
      <c r="Q308"/>
      <c r="R308"/>
      <c r="S308"/>
      <c r="T308"/>
      <c r="U308"/>
      <c r="V308"/>
      <c r="W308"/>
    </row>
    <row r="309" spans="1:23">
      <c r="A309" s="56"/>
      <c r="B309" s="56"/>
      <c r="C309" s="56"/>
      <c r="D309" s="56"/>
      <c r="E309" s="56"/>
      <c r="F309" s="56"/>
      <c r="G309" s="56"/>
      <c r="Q309"/>
      <c r="R309"/>
      <c r="S309"/>
      <c r="T309"/>
      <c r="U309"/>
      <c r="V309"/>
      <c r="W309"/>
    </row>
    <row r="310" spans="1:23">
      <c r="A310" s="56"/>
      <c r="B310" s="56"/>
      <c r="C310" s="56"/>
      <c r="D310" s="56"/>
      <c r="E310" s="56"/>
      <c r="F310" s="56"/>
      <c r="G310" s="56"/>
      <c r="Q310"/>
      <c r="R310"/>
      <c r="S310"/>
      <c r="T310"/>
      <c r="U310"/>
      <c r="V310"/>
      <c r="W310"/>
    </row>
    <row r="311" spans="1:23">
      <c r="A311" s="56"/>
      <c r="B311" s="56"/>
      <c r="C311" s="56"/>
      <c r="D311" s="56"/>
      <c r="E311" s="56"/>
      <c r="F311" s="56"/>
      <c r="G311" s="56"/>
      <c r="Q311"/>
      <c r="R311"/>
      <c r="S311"/>
      <c r="T311"/>
      <c r="U311"/>
      <c r="V311"/>
      <c r="W311"/>
    </row>
    <row r="312" spans="1:23">
      <c r="A312" s="56"/>
      <c r="B312" s="56"/>
      <c r="C312" s="56"/>
      <c r="D312" s="56"/>
      <c r="E312" s="56"/>
      <c r="F312" s="56"/>
      <c r="G312" s="56"/>
      <c r="Q312"/>
      <c r="R312"/>
      <c r="S312"/>
      <c r="T312"/>
      <c r="U312"/>
      <c r="V312"/>
      <c r="W312"/>
    </row>
    <row r="313" spans="1:23">
      <c r="A313" s="56"/>
      <c r="B313" s="56"/>
      <c r="C313" s="56"/>
      <c r="D313" s="56"/>
      <c r="E313" s="56"/>
      <c r="F313" s="56"/>
      <c r="G313" s="56"/>
      <c r="Q313"/>
      <c r="R313"/>
      <c r="S313"/>
      <c r="T313"/>
      <c r="U313"/>
      <c r="V313"/>
      <c r="W313"/>
    </row>
    <row r="314" spans="1:23">
      <c r="A314" s="56"/>
      <c r="B314" s="56"/>
      <c r="C314" s="56"/>
      <c r="D314" s="56"/>
      <c r="E314" s="56"/>
      <c r="F314" s="56"/>
      <c r="G314" s="56"/>
      <c r="Q314"/>
      <c r="R314"/>
      <c r="S314"/>
      <c r="T314"/>
      <c r="U314"/>
      <c r="V314"/>
      <c r="W314"/>
    </row>
    <row r="315" spans="1:23">
      <c r="A315" s="56"/>
      <c r="B315" s="56"/>
      <c r="C315" s="56"/>
      <c r="D315" s="56"/>
      <c r="E315" s="56"/>
      <c r="F315" s="56"/>
      <c r="G315" s="56"/>
      <c r="Q315"/>
      <c r="R315"/>
      <c r="S315"/>
      <c r="T315"/>
      <c r="U315"/>
      <c r="V315"/>
      <c r="W315"/>
    </row>
    <row r="316" spans="1:23">
      <c r="A316" s="56"/>
      <c r="B316" s="56"/>
      <c r="C316" s="56"/>
      <c r="D316" s="56"/>
      <c r="E316" s="56"/>
      <c r="F316" s="56"/>
      <c r="G316" s="56"/>
      <c r="Q316"/>
      <c r="R316"/>
      <c r="S316"/>
      <c r="T316"/>
      <c r="U316"/>
      <c r="V316"/>
      <c r="W316"/>
    </row>
    <row r="317" spans="1:23">
      <c r="A317" s="56"/>
      <c r="B317" s="56"/>
      <c r="C317" s="56"/>
      <c r="D317" s="56"/>
      <c r="E317" s="56"/>
      <c r="F317" s="56"/>
      <c r="G317" s="56"/>
      <c r="Q317"/>
      <c r="R317"/>
      <c r="S317"/>
      <c r="T317"/>
      <c r="U317"/>
      <c r="V317"/>
      <c r="W317"/>
    </row>
    <row r="318" spans="1:23">
      <c r="A318" s="56"/>
      <c r="B318" s="56"/>
      <c r="C318" s="56"/>
      <c r="D318" s="56"/>
      <c r="E318" s="56"/>
      <c r="F318" s="56"/>
      <c r="G318" s="56"/>
      <c r="Q318"/>
      <c r="R318"/>
      <c r="S318"/>
      <c r="T318"/>
      <c r="U318"/>
      <c r="V318"/>
      <c r="W318"/>
    </row>
    <row r="319" spans="1:23">
      <c r="A319" s="56"/>
      <c r="B319" s="56"/>
      <c r="C319" s="56"/>
      <c r="D319" s="56"/>
      <c r="E319" s="56"/>
      <c r="F319" s="56"/>
      <c r="G319" s="56"/>
      <c r="Q319"/>
      <c r="R319"/>
      <c r="S319"/>
      <c r="T319"/>
      <c r="U319"/>
      <c r="V319"/>
      <c r="W319"/>
    </row>
    <row r="320" spans="1:23">
      <c r="A320" s="56"/>
      <c r="B320" s="56"/>
      <c r="C320" s="56"/>
      <c r="D320" s="56"/>
      <c r="E320" s="56"/>
      <c r="F320" s="56"/>
      <c r="G320" s="56"/>
      <c r="Q320"/>
      <c r="R320"/>
      <c r="S320"/>
      <c r="T320"/>
      <c r="U320"/>
      <c r="V320"/>
      <c r="W320"/>
    </row>
    <row r="321" spans="1:23">
      <c r="A321" s="56"/>
      <c r="B321" s="56"/>
      <c r="C321" s="56"/>
      <c r="D321" s="56"/>
      <c r="E321" s="56"/>
      <c r="F321" s="56"/>
      <c r="G321" s="56"/>
      <c r="Q321"/>
      <c r="R321"/>
      <c r="S321"/>
      <c r="T321"/>
      <c r="U321"/>
      <c r="V321"/>
      <c r="W321"/>
    </row>
    <row r="322" spans="1:23">
      <c r="A322" s="56"/>
      <c r="B322" s="56"/>
      <c r="C322" s="56"/>
      <c r="D322" s="56"/>
      <c r="E322" s="56"/>
      <c r="F322" s="56"/>
      <c r="G322" s="56"/>
      <c r="Q322"/>
      <c r="R322"/>
      <c r="S322"/>
      <c r="T322"/>
      <c r="U322"/>
      <c r="V322"/>
      <c r="W322"/>
    </row>
    <row r="323" spans="1:23">
      <c r="A323" s="56"/>
      <c r="B323" s="56"/>
      <c r="C323" s="56"/>
      <c r="D323" s="56"/>
      <c r="E323" s="56"/>
      <c r="F323" s="56"/>
      <c r="G323" s="56"/>
      <c r="Q323"/>
      <c r="R323"/>
      <c r="S323"/>
      <c r="T323"/>
      <c r="U323"/>
      <c r="V323"/>
      <c r="W323"/>
    </row>
    <row r="324" spans="1:23">
      <c r="A324" s="56"/>
      <c r="B324" s="56"/>
      <c r="C324" s="56"/>
      <c r="D324" s="56"/>
      <c r="E324" s="56"/>
      <c r="F324" s="56"/>
      <c r="G324" s="56"/>
      <c r="Q324"/>
      <c r="R324"/>
      <c r="S324"/>
      <c r="T324"/>
      <c r="U324"/>
      <c r="V324"/>
      <c r="W324"/>
    </row>
    <row r="325" spans="1:23">
      <c r="A325" s="56"/>
      <c r="B325" s="56"/>
      <c r="C325" s="56"/>
      <c r="D325" s="56"/>
      <c r="E325" s="56"/>
      <c r="F325" s="56"/>
      <c r="G325" s="56"/>
      <c r="Q325"/>
      <c r="R325"/>
      <c r="S325"/>
      <c r="T325"/>
      <c r="U325"/>
      <c r="V325"/>
      <c r="W325"/>
    </row>
    <row r="326" spans="1:23">
      <c r="A326" s="56"/>
      <c r="B326" s="56"/>
      <c r="C326" s="56"/>
      <c r="D326" s="56"/>
      <c r="E326" s="56"/>
      <c r="F326" s="56"/>
      <c r="G326" s="56"/>
      <c r="Q326"/>
      <c r="R326"/>
      <c r="S326"/>
      <c r="T326"/>
      <c r="U326"/>
      <c r="V326"/>
      <c r="W326"/>
    </row>
    <row r="327" spans="1:23">
      <c r="A327" s="56"/>
      <c r="B327" s="56"/>
      <c r="C327" s="56"/>
      <c r="D327" s="56"/>
      <c r="E327" s="56"/>
      <c r="F327" s="56"/>
      <c r="G327" s="56"/>
      <c r="Q327"/>
      <c r="R327"/>
      <c r="S327"/>
      <c r="T327"/>
      <c r="U327"/>
      <c r="V327"/>
      <c r="W327"/>
    </row>
    <row r="328" spans="1:23">
      <c r="A328" s="56"/>
      <c r="B328" s="56"/>
      <c r="C328" s="56"/>
      <c r="D328" s="56"/>
      <c r="E328" s="56"/>
      <c r="F328" s="56"/>
      <c r="G328" s="56"/>
      <c r="Q328"/>
      <c r="R328"/>
      <c r="S328"/>
      <c r="T328"/>
      <c r="U328"/>
      <c r="V328"/>
      <c r="W328"/>
    </row>
    <row r="329" spans="1:23">
      <c r="A329" s="56"/>
      <c r="B329" s="56"/>
      <c r="C329" s="56"/>
      <c r="D329" s="56"/>
      <c r="E329" s="56"/>
      <c r="F329" s="56"/>
      <c r="G329" s="56"/>
      <c r="Q329"/>
      <c r="R329"/>
      <c r="S329"/>
      <c r="T329"/>
      <c r="U329"/>
      <c r="V329"/>
      <c r="W329"/>
    </row>
    <row r="330" spans="1:23">
      <c r="A330" s="56"/>
      <c r="B330" s="56"/>
      <c r="C330" s="56"/>
      <c r="D330" s="56"/>
      <c r="E330" s="56"/>
      <c r="F330" s="56"/>
      <c r="G330" s="56"/>
      <c r="Q330"/>
      <c r="R330"/>
      <c r="S330"/>
      <c r="T330"/>
      <c r="U330"/>
      <c r="V330"/>
      <c r="W330"/>
    </row>
    <row r="331" spans="1:23">
      <c r="A331" s="56"/>
      <c r="B331" s="56"/>
      <c r="C331" s="56"/>
      <c r="D331" s="56"/>
      <c r="E331" s="56"/>
      <c r="F331" s="56"/>
      <c r="G331" s="56"/>
      <c r="Q331"/>
      <c r="R331"/>
      <c r="S331"/>
      <c r="T331"/>
      <c r="U331"/>
      <c r="V331"/>
      <c r="W331"/>
    </row>
    <row r="332" spans="1:23">
      <c r="A332" s="56"/>
      <c r="B332" s="56"/>
      <c r="C332" s="56"/>
      <c r="D332" s="56"/>
      <c r="E332" s="56"/>
      <c r="F332" s="56"/>
      <c r="G332" s="56"/>
      <c r="Q332"/>
      <c r="R332"/>
      <c r="S332"/>
      <c r="T332"/>
      <c r="U332"/>
      <c r="V332"/>
      <c r="W332"/>
    </row>
    <row r="333" spans="1:23">
      <c r="A333" s="56"/>
      <c r="B333" s="56"/>
      <c r="C333" s="56"/>
      <c r="D333" s="56"/>
      <c r="E333" s="56"/>
      <c r="F333" s="56"/>
      <c r="G333" s="56"/>
      <c r="Q333"/>
      <c r="R333"/>
      <c r="S333"/>
      <c r="T333"/>
      <c r="U333"/>
      <c r="V333"/>
      <c r="W333"/>
    </row>
    <row r="334" spans="1:23">
      <c r="A334" s="56"/>
      <c r="B334" s="56"/>
      <c r="C334" s="56"/>
      <c r="D334" s="56"/>
      <c r="E334" s="56"/>
      <c r="F334" s="56"/>
      <c r="G334" s="56"/>
      <c r="Q334"/>
      <c r="R334"/>
      <c r="S334"/>
      <c r="T334"/>
      <c r="U334"/>
      <c r="V334"/>
      <c r="W334"/>
    </row>
    <row r="335" spans="1:23">
      <c r="A335" s="56"/>
      <c r="B335" s="56"/>
      <c r="C335" s="56"/>
      <c r="D335" s="56"/>
      <c r="E335" s="56"/>
      <c r="F335" s="56"/>
      <c r="G335" s="56"/>
      <c r="Q335"/>
      <c r="R335"/>
      <c r="S335"/>
      <c r="T335"/>
      <c r="U335"/>
      <c r="V335"/>
      <c r="W335"/>
    </row>
    <row r="336" spans="1:23">
      <c r="A336" s="56"/>
      <c r="B336" s="56"/>
      <c r="C336" s="56"/>
      <c r="D336" s="56"/>
      <c r="E336" s="56"/>
      <c r="F336" s="56"/>
      <c r="G336" s="56"/>
      <c r="Q336"/>
      <c r="R336"/>
      <c r="S336"/>
      <c r="T336"/>
      <c r="U336"/>
      <c r="V336"/>
      <c r="W336"/>
    </row>
  </sheetData>
  <sortState ref="A27:D35">
    <sortCondition descending="1" ref="A27:A35"/>
  </sortState>
  <pageMargins left="0.11811023622047245" right="0.11811023622047245" top="0.35433070866141736" bottom="0.35433070866141736" header="0.31496062992125984" footer="0.31496062992125984"/>
  <pageSetup paperSize="9" scale="9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N138"/>
  <sheetViews>
    <sheetView showGridLines="0" zoomScaleNormal="100" workbookViewId="0">
      <selection activeCell="K4" sqref="K4:M18"/>
    </sheetView>
  </sheetViews>
  <sheetFormatPr baseColWidth="10" defaultRowHeight="10.5"/>
  <cols>
    <col min="1" max="1" width="1.6640625" customWidth="1"/>
    <col min="9" max="9" width="11.6640625" customWidth="1"/>
    <col min="11" max="11" width="21.1640625" customWidth="1"/>
    <col min="12" max="12" width="18.1640625" customWidth="1"/>
    <col min="13" max="13" width="15.6640625" customWidth="1"/>
    <col min="14" max="14" width="2.1640625" customWidth="1"/>
  </cols>
  <sheetData>
    <row r="1" spans="1:14" s="1161" customFormat="1" ht="18.75">
      <c r="A1" s="957" t="s">
        <v>384</v>
      </c>
      <c r="B1" s="1170"/>
      <c r="C1" s="1170"/>
      <c r="D1" s="1170"/>
      <c r="E1" s="1170"/>
      <c r="F1" s="1170"/>
      <c r="G1" s="1170"/>
      <c r="H1" s="1170"/>
      <c r="I1" s="1170"/>
      <c r="J1" s="1170"/>
      <c r="K1" s="1170"/>
      <c r="L1" s="1170"/>
      <c r="M1" s="1170"/>
      <c r="N1" s="959"/>
    </row>
    <row r="2" spans="1:14" s="1161" customFormat="1">
      <c r="A2" s="960"/>
      <c r="B2" s="1164"/>
      <c r="C2" s="1164"/>
      <c r="D2" s="1164"/>
      <c r="E2" s="1164"/>
      <c r="F2" s="1164"/>
      <c r="G2" s="1164"/>
      <c r="H2" s="1164"/>
      <c r="I2" s="1164"/>
      <c r="J2" s="1164"/>
      <c r="K2" s="1164"/>
      <c r="L2" s="1164"/>
      <c r="M2" s="1164"/>
      <c r="N2" s="961"/>
    </row>
    <row r="3" spans="1:14" s="1161" customFormat="1" ht="11.25">
      <c r="A3" s="962" t="s">
        <v>901</v>
      </c>
      <c r="B3" s="1164"/>
      <c r="C3" s="1164"/>
      <c r="D3" s="1164"/>
      <c r="E3" s="1164"/>
      <c r="F3" s="1164"/>
      <c r="G3" s="1164"/>
      <c r="H3" s="1164"/>
      <c r="I3" s="1164"/>
      <c r="J3" s="1164"/>
      <c r="K3" s="1164"/>
      <c r="L3" s="1171"/>
      <c r="M3" s="1164"/>
      <c r="N3" s="961"/>
    </row>
    <row r="4" spans="1:14" s="1161" customFormat="1" ht="15">
      <c r="A4" s="964"/>
      <c r="B4" s="1164"/>
      <c r="C4" s="1164"/>
      <c r="D4" s="1164"/>
      <c r="E4" s="1164"/>
      <c r="F4" s="1164"/>
      <c r="G4" s="1164"/>
      <c r="H4" s="1164"/>
      <c r="I4" s="1164"/>
      <c r="J4" s="1164"/>
      <c r="K4" s="1164"/>
      <c r="L4" s="1172" t="s">
        <v>474</v>
      </c>
      <c r="M4" s="1172" t="s">
        <v>475</v>
      </c>
      <c r="N4" s="961"/>
    </row>
    <row r="5" spans="1:14" s="1161" customFormat="1" ht="12.75">
      <c r="A5" s="966"/>
      <c r="B5" s="1173"/>
      <c r="C5" s="1188" t="s">
        <v>276</v>
      </c>
      <c r="D5" s="1188"/>
      <c r="E5" s="1188"/>
      <c r="F5" s="1188"/>
      <c r="G5" s="1188"/>
      <c r="H5" s="1188"/>
      <c r="I5" s="1173"/>
      <c r="J5" s="1173"/>
      <c r="K5" s="1174"/>
      <c r="L5" s="1175"/>
      <c r="M5" s="1175"/>
      <c r="N5" s="961"/>
    </row>
    <row r="6" spans="1:14" s="1161" customFormat="1" ht="12.75">
      <c r="A6" s="966"/>
      <c r="B6" s="1173"/>
      <c r="C6" s="1189" t="s">
        <v>89</v>
      </c>
      <c r="D6" s="1189"/>
      <c r="E6" s="1189" t="s">
        <v>88</v>
      </c>
      <c r="F6" s="1189"/>
      <c r="G6" s="1189" t="s">
        <v>124</v>
      </c>
      <c r="H6" s="1189"/>
      <c r="I6" s="1173"/>
      <c r="J6" s="1173"/>
      <c r="K6" s="1173"/>
      <c r="L6" s="1624" t="s">
        <v>513</v>
      </c>
      <c r="M6" s="1624"/>
      <c r="N6" s="961"/>
    </row>
    <row r="7" spans="1:14" s="1161" customFormat="1" ht="12.75">
      <c r="A7" s="970"/>
      <c r="B7" s="1173"/>
      <c r="C7" s="1186" t="s">
        <v>134</v>
      </c>
      <c r="D7" s="1186" t="s">
        <v>386</v>
      </c>
      <c r="E7" s="1186" t="s">
        <v>134</v>
      </c>
      <c r="F7" s="1186" t="s">
        <v>386</v>
      </c>
      <c r="G7" s="1186" t="s">
        <v>134</v>
      </c>
      <c r="H7" s="1186" t="s">
        <v>386</v>
      </c>
      <c r="I7" s="1173"/>
      <c r="J7" s="1173"/>
      <c r="K7" s="1176" t="s">
        <v>510</v>
      </c>
      <c r="L7" s="1279" t="s">
        <v>954</v>
      </c>
      <c r="M7" s="1279" t="s">
        <v>275</v>
      </c>
      <c r="N7" s="961"/>
    </row>
    <row r="8" spans="1:14" s="1161" customFormat="1" ht="12.75">
      <c r="A8" s="966"/>
      <c r="B8" s="1186" t="s">
        <v>123</v>
      </c>
      <c r="C8" s="1258" t="s">
        <v>1032</v>
      </c>
      <c r="D8" s="1258" t="s">
        <v>796</v>
      </c>
      <c r="E8" s="1258" t="s">
        <v>1033</v>
      </c>
      <c r="F8" s="1258" t="s">
        <v>943</v>
      </c>
      <c r="G8" s="1258" t="s">
        <v>944</v>
      </c>
      <c r="H8" s="1258" t="s">
        <v>903</v>
      </c>
      <c r="I8" s="1256"/>
      <c r="J8" s="1256"/>
      <c r="K8" s="1257" t="s">
        <v>795</v>
      </c>
      <c r="L8" s="1433" t="s">
        <v>960</v>
      </c>
      <c r="M8" s="1433" t="s">
        <v>120</v>
      </c>
      <c r="N8" s="961"/>
    </row>
    <row r="9" spans="1:14" s="1161" customFormat="1" ht="12.75">
      <c r="A9" s="960"/>
      <c r="B9" s="1186" t="s">
        <v>312</v>
      </c>
      <c r="C9" s="1258" t="s">
        <v>1032</v>
      </c>
      <c r="D9" s="1258" t="s">
        <v>903</v>
      </c>
      <c r="E9" s="1258" t="s">
        <v>944</v>
      </c>
      <c r="F9" s="1258" t="s">
        <v>943</v>
      </c>
      <c r="G9" s="1258" t="s">
        <v>910</v>
      </c>
      <c r="H9" s="1258" t="s">
        <v>903</v>
      </c>
      <c r="I9" s="1259"/>
      <c r="J9" s="1259"/>
      <c r="K9" s="1260"/>
      <c r="L9" s="1261"/>
      <c r="M9" s="1261"/>
      <c r="N9" s="961"/>
    </row>
    <row r="10" spans="1:14" s="1161" customFormat="1" ht="12.75">
      <c r="A10" s="960"/>
      <c r="B10" s="1186" t="s">
        <v>773</v>
      </c>
      <c r="C10" s="1258" t="s">
        <v>1034</v>
      </c>
      <c r="D10" s="1258" t="s">
        <v>903</v>
      </c>
      <c r="E10" s="1258" t="s">
        <v>904</v>
      </c>
      <c r="F10" s="1258" t="s">
        <v>903</v>
      </c>
      <c r="G10" s="1258" t="s">
        <v>908</v>
      </c>
      <c r="H10" s="1258" t="s">
        <v>903</v>
      </c>
      <c r="I10" s="1259"/>
      <c r="J10" s="1259"/>
      <c r="K10" s="1262"/>
      <c r="L10" s="1625" t="s">
        <v>511</v>
      </c>
      <c r="M10" s="1625"/>
      <c r="N10" s="961"/>
    </row>
    <row r="11" spans="1:14" s="1161" customFormat="1" ht="12.75">
      <c r="A11" s="960"/>
      <c r="B11" s="1186" t="s">
        <v>774</v>
      </c>
      <c r="C11" s="1258" t="s">
        <v>1035</v>
      </c>
      <c r="D11" s="1258" t="s">
        <v>903</v>
      </c>
      <c r="E11" s="1258" t="s">
        <v>1036</v>
      </c>
      <c r="F11" s="1258" t="s">
        <v>1037</v>
      </c>
      <c r="G11" s="1258" t="s">
        <v>1038</v>
      </c>
      <c r="H11" s="1258" t="s">
        <v>903</v>
      </c>
      <c r="I11" s="1259"/>
      <c r="J11" s="1259"/>
      <c r="K11" s="1257" t="s">
        <v>510</v>
      </c>
      <c r="L11" s="1278" t="s">
        <v>1065</v>
      </c>
      <c r="M11" s="1278" t="s">
        <v>845</v>
      </c>
      <c r="N11" s="961"/>
    </row>
    <row r="12" spans="1:14" s="1161" customFormat="1" ht="12.75">
      <c r="A12" s="960"/>
      <c r="B12" s="1186" t="s">
        <v>775</v>
      </c>
      <c r="C12" s="1258" t="s">
        <v>960</v>
      </c>
      <c r="D12" s="1258" t="s">
        <v>903</v>
      </c>
      <c r="E12" s="1258" t="s">
        <v>1039</v>
      </c>
      <c r="F12" s="1258" t="s">
        <v>903</v>
      </c>
      <c r="G12" s="1258" t="s">
        <v>902</v>
      </c>
      <c r="H12" s="1258" t="s">
        <v>903</v>
      </c>
      <c r="I12" s="1259"/>
      <c r="J12" s="1259"/>
      <c r="K12" s="1257" t="s">
        <v>795</v>
      </c>
      <c r="L12" s="1433" t="s">
        <v>905</v>
      </c>
      <c r="M12" s="1433" t="s">
        <v>120</v>
      </c>
      <c r="N12" s="961"/>
    </row>
    <row r="13" spans="1:14" s="1161" customFormat="1" ht="12.75">
      <c r="A13" s="960"/>
      <c r="B13" s="1164"/>
      <c r="C13" s="1263"/>
      <c r="D13" s="1263"/>
      <c r="E13" s="1263"/>
      <c r="F13" s="1263"/>
      <c r="G13" s="1263"/>
      <c r="H13" s="1263"/>
      <c r="I13" s="1256"/>
      <c r="J13" s="1256"/>
      <c r="K13" s="1262"/>
      <c r="L13" s="1264"/>
      <c r="M13" s="1264"/>
      <c r="N13" s="961"/>
    </row>
    <row r="14" spans="1:14" s="1161" customFormat="1" ht="12.75">
      <c r="A14" s="960"/>
      <c r="C14" s="414"/>
      <c r="D14" s="414"/>
      <c r="E14" s="414"/>
      <c r="F14" s="414"/>
      <c r="G14" s="414"/>
      <c r="H14" s="414"/>
      <c r="I14" s="1256"/>
      <c r="J14" s="1256"/>
      <c r="K14" s="1262"/>
      <c r="L14" s="1625" t="s">
        <v>512</v>
      </c>
      <c r="M14" s="1625"/>
      <c r="N14" s="961"/>
    </row>
    <row r="15" spans="1:14" s="1161" customFormat="1" ht="12.75">
      <c r="A15" s="960"/>
      <c r="C15" s="414"/>
      <c r="D15" s="414"/>
      <c r="E15" s="414"/>
      <c r="F15" s="414"/>
      <c r="G15" s="414"/>
      <c r="H15" s="414"/>
      <c r="I15" s="1256"/>
      <c r="J15" s="1256"/>
      <c r="K15" s="1257" t="s">
        <v>510</v>
      </c>
      <c r="L15" s="1278" t="s">
        <v>1051</v>
      </c>
      <c r="M15" s="1278" t="s">
        <v>122</v>
      </c>
      <c r="N15" s="961"/>
    </row>
    <row r="16" spans="1:14" s="1161" customFormat="1" ht="12.75">
      <c r="A16" s="975"/>
      <c r="B16" s="1164"/>
      <c r="C16" s="1265" t="s">
        <v>385</v>
      </c>
      <c r="D16" s="1265"/>
      <c r="E16" s="1265"/>
      <c r="F16" s="1265"/>
      <c r="G16" s="1265"/>
      <c r="H16" s="1265"/>
      <c r="I16" s="1256"/>
      <c r="J16" s="1256"/>
      <c r="K16" s="1257" t="s">
        <v>795</v>
      </c>
      <c r="L16" s="1433" t="s">
        <v>961</v>
      </c>
      <c r="M16" s="1433" t="s">
        <v>796</v>
      </c>
      <c r="N16" s="961"/>
    </row>
    <row r="17" spans="1:14" s="1161" customFormat="1" ht="11.25">
      <c r="A17" s="976"/>
      <c r="B17" s="1164"/>
      <c r="C17" s="1266" t="s">
        <v>89</v>
      </c>
      <c r="D17" s="1266"/>
      <c r="E17" s="1266" t="s">
        <v>88</v>
      </c>
      <c r="F17" s="1266"/>
      <c r="G17" s="1266" t="s">
        <v>124</v>
      </c>
      <c r="H17" s="1266"/>
      <c r="I17" s="1267"/>
      <c r="J17" s="1267"/>
      <c r="K17" s="1259"/>
      <c r="L17" s="1259"/>
      <c r="M17" s="1259"/>
      <c r="N17" s="961"/>
    </row>
    <row r="18" spans="1:14" s="1161" customFormat="1" ht="11.25">
      <c r="A18" s="976"/>
      <c r="B18" s="1164"/>
      <c r="C18" s="1268" t="s">
        <v>134</v>
      </c>
      <c r="D18" s="1268" t="s">
        <v>386</v>
      </c>
      <c r="E18" s="1268" t="s">
        <v>134</v>
      </c>
      <c r="F18" s="1268" t="s">
        <v>386</v>
      </c>
      <c r="G18" s="1268" t="s">
        <v>134</v>
      </c>
      <c r="H18" s="1268" t="s">
        <v>386</v>
      </c>
      <c r="I18" s="1259"/>
      <c r="J18" s="1259"/>
      <c r="K18" s="1259"/>
      <c r="L18" s="1269" t="s">
        <v>962</v>
      </c>
      <c r="M18" s="1259"/>
      <c r="N18" s="961"/>
    </row>
    <row r="19" spans="1:14" s="1161" customFormat="1" ht="11.25">
      <c r="A19" s="976"/>
      <c r="B19" s="1186" t="s">
        <v>123</v>
      </c>
      <c r="C19" s="1258" t="s">
        <v>1040</v>
      </c>
      <c r="D19" s="1258" t="s">
        <v>122</v>
      </c>
      <c r="E19" s="1258" t="s">
        <v>1041</v>
      </c>
      <c r="F19" s="1258" t="s">
        <v>275</v>
      </c>
      <c r="G19" s="1258" t="s">
        <v>1042</v>
      </c>
      <c r="H19" s="1258" t="s">
        <v>275</v>
      </c>
      <c r="I19" s="1267"/>
      <c r="J19" s="1267"/>
      <c r="K19" s="1270"/>
      <c r="L19" s="1271"/>
      <c r="M19" s="1259"/>
      <c r="N19" s="961"/>
    </row>
    <row r="20" spans="1:14" s="1161" customFormat="1" ht="11.25">
      <c r="A20" s="960"/>
      <c r="B20" s="1186" t="s">
        <v>312</v>
      </c>
      <c r="C20" s="1258" t="s">
        <v>1043</v>
      </c>
      <c r="D20" s="1258" t="s">
        <v>865</v>
      </c>
      <c r="E20" s="1258" t="s">
        <v>913</v>
      </c>
      <c r="F20" s="1258" t="s">
        <v>867</v>
      </c>
      <c r="G20" s="1258" t="s">
        <v>1044</v>
      </c>
      <c r="H20" s="1258" t="s">
        <v>867</v>
      </c>
      <c r="I20" s="1270"/>
      <c r="J20" s="1270"/>
      <c r="K20" s="1270"/>
      <c r="L20" s="1271"/>
      <c r="M20" s="1259"/>
      <c r="N20" s="961"/>
    </row>
    <row r="21" spans="1:14" s="1161" customFormat="1" ht="11.25">
      <c r="A21" s="960"/>
      <c r="B21" s="1186" t="s">
        <v>773</v>
      </c>
      <c r="C21" s="1258" t="s">
        <v>1045</v>
      </c>
      <c r="D21" s="1258" t="s">
        <v>1046</v>
      </c>
      <c r="E21" s="1258" t="s">
        <v>1045</v>
      </c>
      <c r="F21" s="1258" t="s">
        <v>275</v>
      </c>
      <c r="G21" s="1258" t="s">
        <v>1045</v>
      </c>
      <c r="H21" s="1258" t="s">
        <v>938</v>
      </c>
      <c r="I21" s="1259"/>
      <c r="J21" s="1259"/>
      <c r="K21" s="1259"/>
      <c r="L21" s="1259"/>
      <c r="M21" s="1259"/>
      <c r="N21" s="961"/>
    </row>
    <row r="22" spans="1:14" s="1161" customFormat="1" ht="12">
      <c r="A22" s="960"/>
      <c r="B22" s="1186" t="s">
        <v>774</v>
      </c>
      <c r="C22" s="1258" t="s">
        <v>1047</v>
      </c>
      <c r="D22" s="1258" t="s">
        <v>939</v>
      </c>
      <c r="E22" s="1258" t="s">
        <v>1048</v>
      </c>
      <c r="F22" s="1258" t="s">
        <v>866</v>
      </c>
      <c r="G22" s="1258" t="s">
        <v>1049</v>
      </c>
      <c r="H22" s="1258" t="s">
        <v>866</v>
      </c>
      <c r="I22" s="1272"/>
      <c r="J22" s="1626"/>
      <c r="K22" s="1626"/>
      <c r="L22" s="1626"/>
      <c r="M22" s="1273"/>
      <c r="N22" s="961"/>
    </row>
    <row r="23" spans="1:14" s="1161" customFormat="1" ht="11.25">
      <c r="A23" s="960"/>
      <c r="B23" s="1186" t="s">
        <v>775</v>
      </c>
      <c r="C23" s="1258" t="s">
        <v>915</v>
      </c>
      <c r="D23" s="1258" t="s">
        <v>845</v>
      </c>
      <c r="E23" s="1258" t="s">
        <v>1050</v>
      </c>
      <c r="F23" s="1258" t="s">
        <v>121</v>
      </c>
      <c r="G23" s="1258" t="s">
        <v>1051</v>
      </c>
      <c r="H23" s="1258" t="s">
        <v>275</v>
      </c>
      <c r="I23" s="1259"/>
      <c r="J23" s="1259"/>
      <c r="K23" s="1259"/>
      <c r="L23" s="1259"/>
      <c r="M23" s="1259"/>
      <c r="N23" s="961"/>
    </row>
    <row r="24" spans="1:14" s="1161" customFormat="1" ht="12">
      <c r="A24" s="1253"/>
      <c r="C24" s="414"/>
      <c r="D24" s="414"/>
      <c r="E24" s="414"/>
      <c r="F24" s="414"/>
      <c r="G24" s="414"/>
      <c r="H24" s="414"/>
      <c r="I24" s="1263"/>
      <c r="J24" s="1263"/>
      <c r="K24" s="1263"/>
      <c r="L24" s="1263"/>
      <c r="M24" s="1263"/>
      <c r="N24" s="961"/>
    </row>
    <row r="25" spans="1:14" s="1161" customFormat="1" ht="12">
      <c r="A25" s="960"/>
      <c r="B25" s="1254"/>
      <c r="C25" s="1274"/>
      <c r="D25" s="1275"/>
      <c r="E25" s="1275"/>
      <c r="F25" s="1275"/>
      <c r="G25" s="1275"/>
      <c r="H25" s="1275"/>
      <c r="I25" s="1259"/>
      <c r="J25" s="1259"/>
      <c r="K25" s="1259"/>
      <c r="L25" s="1259"/>
      <c r="M25" s="1259"/>
      <c r="N25" s="961"/>
    </row>
    <row r="26" spans="1:14" s="1161" customFormat="1">
      <c r="A26" s="960"/>
      <c r="B26" s="1164"/>
      <c r="C26" s="1259"/>
      <c r="D26" s="1259"/>
      <c r="E26" s="1259"/>
      <c r="F26" s="1259"/>
      <c r="G26" s="1259"/>
      <c r="H26" s="1259"/>
      <c r="I26" s="1259"/>
      <c r="J26" s="1259"/>
      <c r="K26" s="1259"/>
      <c r="L26" s="1259"/>
      <c r="M26" s="1259"/>
      <c r="N26" s="961"/>
    </row>
    <row r="27" spans="1:14" s="1161" customFormat="1" ht="11.25">
      <c r="A27" s="960"/>
      <c r="B27" s="1164"/>
      <c r="C27" s="1265" t="s">
        <v>387</v>
      </c>
      <c r="D27" s="1265"/>
      <c r="E27" s="1265"/>
      <c r="F27" s="1265"/>
      <c r="G27" s="1265"/>
      <c r="H27" s="1265"/>
      <c r="I27" s="1259"/>
      <c r="J27" s="1259"/>
      <c r="K27" s="1259"/>
      <c r="L27" s="1259"/>
      <c r="M27" s="1259"/>
      <c r="N27" s="961"/>
    </row>
    <row r="28" spans="1:14" s="1161" customFormat="1" ht="11.25">
      <c r="A28" s="982"/>
      <c r="B28" s="1164"/>
      <c r="C28" s="1266" t="s">
        <v>89</v>
      </c>
      <c r="D28" s="1266"/>
      <c r="E28" s="1266" t="s">
        <v>88</v>
      </c>
      <c r="F28" s="1266"/>
      <c r="G28" s="1266" t="s">
        <v>124</v>
      </c>
      <c r="H28" s="1266"/>
      <c r="I28" s="1270"/>
      <c r="J28" s="1270"/>
      <c r="K28" s="1270"/>
      <c r="L28" s="1270"/>
      <c r="M28" s="1259"/>
      <c r="N28" s="961"/>
    </row>
    <row r="29" spans="1:14" s="1161" customFormat="1" ht="11.25">
      <c r="A29" s="976"/>
      <c r="B29" s="1164"/>
      <c r="C29" s="1268" t="s">
        <v>134</v>
      </c>
      <c r="D29" s="1268" t="s">
        <v>386</v>
      </c>
      <c r="E29" s="1268" t="s">
        <v>134</v>
      </c>
      <c r="F29" s="1268" t="s">
        <v>386</v>
      </c>
      <c r="G29" s="1268" t="s">
        <v>134</v>
      </c>
      <c r="H29" s="1268" t="s">
        <v>386</v>
      </c>
      <c r="I29" s="1270"/>
      <c r="J29" s="1270"/>
      <c r="K29" s="1270"/>
      <c r="L29" s="1270"/>
      <c r="M29" s="1276"/>
      <c r="N29" s="961"/>
    </row>
    <row r="30" spans="1:14" s="1161" customFormat="1" ht="11.25">
      <c r="A30" s="976"/>
      <c r="B30" s="1186" t="s">
        <v>123</v>
      </c>
      <c r="C30" s="1258" t="s">
        <v>1052</v>
      </c>
      <c r="D30" s="1258" t="s">
        <v>946</v>
      </c>
      <c r="E30" s="1258" t="s">
        <v>1053</v>
      </c>
      <c r="F30" s="1258" t="s">
        <v>930</v>
      </c>
      <c r="G30" s="1258" t="s">
        <v>1053</v>
      </c>
      <c r="H30" s="1258" t="s">
        <v>946</v>
      </c>
      <c r="I30" s="1267"/>
      <c r="J30" s="1267"/>
      <c r="K30" s="1270"/>
      <c r="L30" s="1271"/>
      <c r="M30" s="1259"/>
      <c r="N30" s="961"/>
    </row>
    <row r="31" spans="1:14" s="1161" customFormat="1" ht="11.25">
      <c r="A31" s="976"/>
      <c r="B31" s="1186" t="s">
        <v>312</v>
      </c>
      <c r="C31" s="1258" t="s">
        <v>1054</v>
      </c>
      <c r="D31" s="1258" t="s">
        <v>866</v>
      </c>
      <c r="E31" s="1258" t="s">
        <v>1055</v>
      </c>
      <c r="F31" s="1258" t="s">
        <v>928</v>
      </c>
      <c r="G31" s="1258" t="s">
        <v>1056</v>
      </c>
      <c r="H31" s="1258" t="s">
        <v>918</v>
      </c>
      <c r="I31" s="1267"/>
      <c r="J31" s="1267"/>
      <c r="K31" s="1270"/>
      <c r="L31" s="1271"/>
      <c r="M31" s="1259"/>
      <c r="N31" s="961"/>
    </row>
    <row r="32" spans="1:14" s="1161" customFormat="1" ht="11.25">
      <c r="A32" s="976"/>
      <c r="B32" s="1186" t="s">
        <v>773</v>
      </c>
      <c r="C32" s="1258" t="s">
        <v>1057</v>
      </c>
      <c r="D32" s="1258" t="s">
        <v>928</v>
      </c>
      <c r="E32" s="1258" t="s">
        <v>1058</v>
      </c>
      <c r="F32" s="1258" t="s">
        <v>918</v>
      </c>
      <c r="G32" s="1258" t="s">
        <v>1059</v>
      </c>
      <c r="H32" s="1258" t="s">
        <v>925</v>
      </c>
      <c r="I32" s="1267"/>
      <c r="J32" s="1267"/>
      <c r="K32" s="1270"/>
      <c r="L32" s="1271"/>
      <c r="M32" s="1259"/>
      <c r="N32" s="961"/>
    </row>
    <row r="33" spans="1:14" s="1161" customFormat="1" ht="11.25">
      <c r="A33" s="976"/>
      <c r="B33" s="1186" t="s">
        <v>774</v>
      </c>
      <c r="C33" s="1258" t="s">
        <v>1060</v>
      </c>
      <c r="D33" s="1258" t="s">
        <v>866</v>
      </c>
      <c r="E33" s="1258" t="s">
        <v>1061</v>
      </c>
      <c r="F33" s="1258" t="s">
        <v>934</v>
      </c>
      <c r="G33" s="1258" t="s">
        <v>1059</v>
      </c>
      <c r="H33" s="1258" t="s">
        <v>1062</v>
      </c>
      <c r="I33" s="1267"/>
      <c r="J33" s="1267"/>
      <c r="K33" s="1270"/>
      <c r="L33" s="1271"/>
      <c r="M33" s="1259"/>
      <c r="N33" s="961"/>
    </row>
    <row r="34" spans="1:14" s="1161" customFormat="1" ht="11.25">
      <c r="A34" s="976"/>
      <c r="B34" s="1186" t="s">
        <v>775</v>
      </c>
      <c r="C34" s="1258" t="s">
        <v>1063</v>
      </c>
      <c r="D34" s="1258" t="s">
        <v>866</v>
      </c>
      <c r="E34" s="1258" t="s">
        <v>936</v>
      </c>
      <c r="F34" s="1258" t="s">
        <v>918</v>
      </c>
      <c r="G34" s="1258" t="s">
        <v>1064</v>
      </c>
      <c r="H34" s="1258" t="s">
        <v>866</v>
      </c>
      <c r="I34" s="1270"/>
      <c r="J34" s="1270"/>
      <c r="K34" s="1270"/>
      <c r="L34" s="1270"/>
      <c r="M34" s="1259"/>
      <c r="N34" s="961"/>
    </row>
    <row r="35" spans="1:14" s="1161" customFormat="1">
      <c r="A35" s="960"/>
      <c r="C35" s="414"/>
      <c r="D35" s="414"/>
      <c r="E35" s="414"/>
      <c r="F35" s="414"/>
      <c r="G35" s="414"/>
      <c r="H35" s="414"/>
      <c r="I35" s="1259"/>
      <c r="J35" s="1259"/>
      <c r="K35" s="1259"/>
      <c r="L35" s="1259"/>
      <c r="M35" s="1259"/>
      <c r="N35" s="961"/>
    </row>
    <row r="36" spans="1:14" s="1161" customFormat="1">
      <c r="A36" s="960"/>
      <c r="C36" s="414"/>
      <c r="D36" s="414"/>
      <c r="E36" s="414"/>
      <c r="F36" s="414"/>
      <c r="G36" s="414"/>
      <c r="H36" s="414"/>
      <c r="I36" s="1259"/>
      <c r="J36" s="1259"/>
      <c r="K36" s="1259"/>
      <c r="L36" s="1259"/>
      <c r="M36" s="1259"/>
      <c r="N36" s="961"/>
    </row>
    <row r="37" spans="1:14" s="1161" customFormat="1">
      <c r="A37" s="960"/>
      <c r="C37" s="414"/>
      <c r="D37" s="414"/>
      <c r="E37" s="414"/>
      <c r="F37" s="414"/>
      <c r="G37" s="414"/>
      <c r="H37" s="414"/>
      <c r="I37" s="1259"/>
      <c r="J37" s="1259"/>
      <c r="K37" s="1259"/>
      <c r="L37" s="1259"/>
      <c r="M37" s="1259"/>
      <c r="N37" s="961"/>
    </row>
    <row r="38" spans="1:14" s="1161" customFormat="1" ht="11.25">
      <c r="A38" s="960"/>
      <c r="B38" s="981"/>
      <c r="C38" s="1265" t="s">
        <v>749</v>
      </c>
      <c r="D38" s="1265"/>
      <c r="E38" s="1265"/>
      <c r="F38" s="1265"/>
      <c r="G38" s="1265"/>
      <c r="H38" s="1265"/>
      <c r="I38" s="1259"/>
      <c r="J38" s="1259"/>
      <c r="K38" s="1259"/>
      <c r="L38" s="1259"/>
      <c r="M38" s="1259"/>
      <c r="N38" s="961"/>
    </row>
    <row r="39" spans="1:14" s="1161" customFormat="1" ht="11.25">
      <c r="A39" s="960"/>
      <c r="B39" s="981"/>
      <c r="C39" s="1266" t="s">
        <v>89</v>
      </c>
      <c r="D39" s="1266"/>
      <c r="E39" s="1266" t="s">
        <v>88</v>
      </c>
      <c r="F39" s="1266"/>
      <c r="G39" s="1266" t="s">
        <v>124</v>
      </c>
      <c r="H39" s="1266"/>
      <c r="I39" s="1259"/>
      <c r="J39" s="1259"/>
      <c r="K39" s="1259"/>
      <c r="L39" s="1259"/>
      <c r="M39" s="1259"/>
      <c r="N39" s="961"/>
    </row>
    <row r="40" spans="1:14" s="1161" customFormat="1" ht="11.25">
      <c r="A40" s="960"/>
      <c r="B40" s="981"/>
      <c r="C40" s="1268" t="s">
        <v>134</v>
      </c>
      <c r="D40" s="1268" t="s">
        <v>386</v>
      </c>
      <c r="E40" s="1268" t="s">
        <v>134</v>
      </c>
      <c r="F40" s="1268" t="s">
        <v>386</v>
      </c>
      <c r="G40" s="1268" t="s">
        <v>134</v>
      </c>
      <c r="H40" s="1268" t="s">
        <v>386</v>
      </c>
      <c r="I40" s="1259"/>
      <c r="J40" s="1259"/>
      <c r="K40" s="1259"/>
      <c r="L40" s="1259"/>
      <c r="M40" s="1259"/>
      <c r="N40" s="961"/>
    </row>
    <row r="41" spans="1:14" s="1161" customFormat="1" ht="11.25">
      <c r="A41" s="960"/>
      <c r="B41" s="981"/>
      <c r="C41" s="1258" t="s">
        <v>1065</v>
      </c>
      <c r="D41" s="1258" t="s">
        <v>845</v>
      </c>
      <c r="E41" s="1258" t="s">
        <v>1051</v>
      </c>
      <c r="F41" s="1258" t="s">
        <v>122</v>
      </c>
      <c r="G41" s="1258" t="s">
        <v>954</v>
      </c>
      <c r="H41" s="1258" t="s">
        <v>275</v>
      </c>
      <c r="I41" s="1259"/>
      <c r="J41" s="1259"/>
      <c r="K41" s="1259"/>
      <c r="L41" s="1259"/>
      <c r="M41" s="1259"/>
      <c r="N41" s="961"/>
    </row>
    <row r="42" spans="1:14" s="1161" customFormat="1" ht="11.25">
      <c r="A42" s="960"/>
      <c r="B42" s="1186" t="s">
        <v>60</v>
      </c>
      <c r="C42" s="1258" t="s">
        <v>912</v>
      </c>
      <c r="D42" s="1258" t="s">
        <v>845</v>
      </c>
      <c r="E42" s="1258" t="s">
        <v>1066</v>
      </c>
      <c r="F42" s="1258" t="s">
        <v>275</v>
      </c>
      <c r="G42" s="1258" t="s">
        <v>1065</v>
      </c>
      <c r="H42" s="1258" t="s">
        <v>275</v>
      </c>
      <c r="I42" s="1259"/>
      <c r="J42" s="1259"/>
      <c r="K42" s="1259"/>
      <c r="L42" s="1259"/>
      <c r="M42" s="1259"/>
      <c r="N42" s="961"/>
    </row>
    <row r="43" spans="1:14" s="1161" customFormat="1" ht="11.25">
      <c r="A43" s="960"/>
      <c r="B43" s="1186" t="s">
        <v>61</v>
      </c>
      <c r="C43" s="1258" t="s">
        <v>1067</v>
      </c>
      <c r="D43" s="1258" t="s">
        <v>122</v>
      </c>
      <c r="E43" s="1258" t="s">
        <v>955</v>
      </c>
      <c r="F43" s="1258" t="s">
        <v>121</v>
      </c>
      <c r="G43" s="1258" t="s">
        <v>920</v>
      </c>
      <c r="H43" s="1258" t="s">
        <v>121</v>
      </c>
      <c r="I43" s="1259"/>
      <c r="J43" s="1259"/>
      <c r="K43" s="1259"/>
      <c r="L43" s="1259"/>
      <c r="M43" s="1259"/>
      <c r="N43" s="961"/>
    </row>
    <row r="44" spans="1:14" s="1161" customFormat="1" ht="11.25">
      <c r="A44" s="960"/>
      <c r="B44" s="1186" t="s">
        <v>62</v>
      </c>
      <c r="C44" s="1258" t="s">
        <v>1066</v>
      </c>
      <c r="D44" s="1258" t="s">
        <v>1068</v>
      </c>
      <c r="E44" s="1258" t="s">
        <v>1069</v>
      </c>
      <c r="F44" s="1258" t="s">
        <v>120</v>
      </c>
      <c r="G44" s="1258" t="s">
        <v>1070</v>
      </c>
      <c r="H44" s="1258" t="s">
        <v>122</v>
      </c>
      <c r="I44" s="1259"/>
      <c r="J44" s="1259"/>
      <c r="K44" s="1259"/>
      <c r="L44" s="1259"/>
      <c r="M44" s="1259"/>
      <c r="N44" s="961"/>
    </row>
    <row r="45" spans="1:14" s="1161" customFormat="1">
      <c r="A45" s="960"/>
      <c r="C45" s="414"/>
      <c r="D45" s="414"/>
      <c r="E45" s="414"/>
      <c r="F45" s="414"/>
      <c r="G45" s="414"/>
      <c r="H45" s="414"/>
      <c r="I45" s="1259"/>
      <c r="J45" s="1259"/>
      <c r="K45" s="1259"/>
      <c r="L45" s="1259"/>
      <c r="M45" s="1259"/>
      <c r="N45" s="961"/>
    </row>
    <row r="46" spans="1:14" s="1161" customFormat="1">
      <c r="A46" s="984"/>
      <c r="B46" s="1185"/>
      <c r="C46" s="1277"/>
      <c r="D46" s="1277"/>
      <c r="E46" s="1277"/>
      <c r="F46" s="1277"/>
      <c r="G46" s="1277"/>
      <c r="H46" s="1277"/>
      <c r="I46" s="1277"/>
      <c r="J46" s="1277"/>
      <c r="K46" s="1277"/>
      <c r="L46" s="1277"/>
      <c r="M46" s="1277"/>
      <c r="N46" s="986"/>
    </row>
    <row r="47" spans="1:14" ht="9.75" customHeight="1">
      <c r="A47" s="957"/>
      <c r="B47" s="958"/>
      <c r="C47" s="958"/>
      <c r="D47" s="958"/>
      <c r="E47" s="958"/>
      <c r="F47" s="958"/>
      <c r="G47" s="958"/>
      <c r="H47" s="958"/>
      <c r="I47" s="958"/>
      <c r="J47" s="958"/>
      <c r="K47" s="958"/>
      <c r="L47" s="958"/>
      <c r="M47" s="958"/>
      <c r="N47" s="959"/>
    </row>
    <row r="48" spans="1:14">
      <c r="A48" s="960"/>
      <c r="B48" s="185"/>
      <c r="C48" s="185"/>
      <c r="D48" s="185"/>
      <c r="E48" s="185"/>
      <c r="F48" s="185"/>
      <c r="G48" s="185"/>
      <c r="H48" s="185"/>
      <c r="I48" s="185"/>
      <c r="J48" s="185"/>
      <c r="K48" s="185"/>
      <c r="L48" s="185"/>
      <c r="M48" s="185"/>
      <c r="N48" s="961"/>
    </row>
    <row r="49" spans="1:14" ht="11.25">
      <c r="A49" s="962" t="s">
        <v>825</v>
      </c>
      <c r="B49" s="185"/>
      <c r="C49" s="185"/>
      <c r="D49" s="185"/>
      <c r="E49" s="185"/>
      <c r="F49" s="185"/>
      <c r="G49" s="185"/>
      <c r="H49" s="185"/>
      <c r="I49" s="185"/>
      <c r="J49" s="185"/>
      <c r="K49" s="185"/>
      <c r="L49" s="963"/>
      <c r="M49" s="185"/>
      <c r="N49" s="961"/>
    </row>
    <row r="50" spans="1:14" ht="15">
      <c r="A50" s="964"/>
      <c r="B50" s="185"/>
      <c r="C50" s="185"/>
      <c r="D50" s="185"/>
      <c r="E50" s="185"/>
      <c r="F50" s="185"/>
      <c r="G50" s="185"/>
      <c r="H50" s="185"/>
      <c r="I50" s="185"/>
      <c r="J50" s="185"/>
      <c r="K50" s="185"/>
      <c r="L50" s="965" t="s">
        <v>474</v>
      </c>
      <c r="M50" s="965" t="s">
        <v>475</v>
      </c>
      <c r="N50" s="961"/>
    </row>
    <row r="51" spans="1:14" ht="12.75">
      <c r="A51" s="966"/>
      <c r="B51" s="967"/>
      <c r="C51" s="990" t="s">
        <v>276</v>
      </c>
      <c r="D51" s="990"/>
      <c r="E51" s="990"/>
      <c r="F51" s="990"/>
      <c r="G51" s="990"/>
      <c r="H51" s="990"/>
      <c r="I51" s="967"/>
      <c r="J51" s="967"/>
      <c r="K51" s="968"/>
      <c r="L51" s="969"/>
      <c r="M51" s="969"/>
      <c r="N51" s="961"/>
    </row>
    <row r="52" spans="1:14" ht="12.75">
      <c r="A52" s="966"/>
      <c r="B52" s="967"/>
      <c r="C52" s="991" t="s">
        <v>89</v>
      </c>
      <c r="D52" s="991"/>
      <c r="E52" s="991" t="s">
        <v>88</v>
      </c>
      <c r="F52" s="991"/>
      <c r="G52" s="991" t="s">
        <v>124</v>
      </c>
      <c r="H52" s="991"/>
      <c r="I52" s="967"/>
      <c r="J52" s="967"/>
      <c r="K52" s="967"/>
      <c r="L52" s="1624" t="s">
        <v>513</v>
      </c>
      <c r="M52" s="1624"/>
      <c r="N52" s="961"/>
    </row>
    <row r="53" spans="1:14" ht="12.75">
      <c r="A53" s="970"/>
      <c r="B53" s="967"/>
      <c r="C53" s="987" t="s">
        <v>134</v>
      </c>
      <c r="D53" s="987" t="s">
        <v>386</v>
      </c>
      <c r="E53" s="987" t="s">
        <v>134</v>
      </c>
      <c r="F53" s="987" t="s">
        <v>386</v>
      </c>
      <c r="G53" s="987" t="s">
        <v>134</v>
      </c>
      <c r="H53" s="987" t="s">
        <v>386</v>
      </c>
      <c r="I53" s="967"/>
      <c r="J53" s="967"/>
      <c r="K53" s="971" t="s">
        <v>510</v>
      </c>
      <c r="L53" s="969" t="s">
        <v>951</v>
      </c>
      <c r="M53" s="969" t="s">
        <v>275</v>
      </c>
      <c r="N53" s="961"/>
    </row>
    <row r="54" spans="1:14" ht="12.75">
      <c r="A54" s="966"/>
      <c r="B54" s="1186" t="s">
        <v>123</v>
      </c>
      <c r="C54" s="1191" t="s">
        <v>906</v>
      </c>
      <c r="D54" s="1191" t="s">
        <v>120</v>
      </c>
      <c r="E54" s="1191" t="s">
        <v>942</v>
      </c>
      <c r="F54" s="1191" t="s">
        <v>943</v>
      </c>
      <c r="G54" s="1191" t="s">
        <v>944</v>
      </c>
      <c r="H54" s="1191" t="s">
        <v>903</v>
      </c>
      <c r="I54" s="967"/>
      <c r="J54" s="967"/>
      <c r="K54" s="971" t="s">
        <v>795</v>
      </c>
      <c r="L54" s="1175" t="s">
        <v>960</v>
      </c>
      <c r="M54" s="1175" t="s">
        <v>120</v>
      </c>
      <c r="N54" s="961"/>
    </row>
    <row r="55" spans="1:14" ht="12.75">
      <c r="A55" s="960"/>
      <c r="B55" s="1186" t="s">
        <v>312</v>
      </c>
      <c r="C55" s="1191" t="s">
        <v>902</v>
      </c>
      <c r="D55" s="1191" t="s">
        <v>903</v>
      </c>
      <c r="E55" s="1191" t="s">
        <v>904</v>
      </c>
      <c r="F55" s="1191" t="s">
        <v>903</v>
      </c>
      <c r="G55" s="1191" t="s">
        <v>902</v>
      </c>
      <c r="H55" s="1191" t="s">
        <v>903</v>
      </c>
      <c r="I55" s="185"/>
      <c r="J55" s="185"/>
      <c r="K55" s="972"/>
      <c r="L55" s="969"/>
      <c r="M55" s="969"/>
      <c r="N55" s="961"/>
    </row>
    <row r="56" spans="1:14" ht="12.75">
      <c r="A56" s="960"/>
      <c r="B56" s="1186" t="s">
        <v>773</v>
      </c>
      <c r="C56" s="1191" t="s">
        <v>904</v>
      </c>
      <c r="D56" s="1191" t="s">
        <v>796</v>
      </c>
      <c r="E56" s="1191" t="s">
        <v>905</v>
      </c>
      <c r="F56" s="1191" t="s">
        <v>120</v>
      </c>
      <c r="G56" s="1191" t="s">
        <v>906</v>
      </c>
      <c r="H56" s="1191" t="s">
        <v>120</v>
      </c>
      <c r="I56" s="185"/>
      <c r="J56" s="185"/>
      <c r="K56" s="973"/>
      <c r="L56" s="1624" t="s">
        <v>511</v>
      </c>
      <c r="M56" s="1624"/>
      <c r="N56" s="961"/>
    </row>
    <row r="57" spans="1:14" ht="12.75">
      <c r="A57" s="960"/>
      <c r="B57" s="1186" t="s">
        <v>774</v>
      </c>
      <c r="C57" s="1191" t="s">
        <v>904</v>
      </c>
      <c r="D57" s="1191" t="s">
        <v>796</v>
      </c>
      <c r="E57" s="1191" t="s">
        <v>903</v>
      </c>
      <c r="F57" s="1191" t="s">
        <v>907</v>
      </c>
      <c r="G57" s="1191" t="s">
        <v>908</v>
      </c>
      <c r="H57" s="1191" t="s">
        <v>903</v>
      </c>
      <c r="I57" s="185"/>
      <c r="J57" s="185"/>
      <c r="K57" s="971" t="s">
        <v>510</v>
      </c>
      <c r="L57" s="969" t="s">
        <v>949</v>
      </c>
      <c r="M57" s="969" t="s">
        <v>275</v>
      </c>
      <c r="N57" s="961"/>
    </row>
    <row r="58" spans="1:14" ht="12.75">
      <c r="A58" s="960"/>
      <c r="B58" s="1186" t="s">
        <v>775</v>
      </c>
      <c r="C58" s="1191" t="s">
        <v>909</v>
      </c>
      <c r="D58" s="1191" t="s">
        <v>903</v>
      </c>
      <c r="E58" s="1191" t="s">
        <v>910</v>
      </c>
      <c r="F58" s="1191" t="s">
        <v>903</v>
      </c>
      <c r="G58" s="1191" t="s">
        <v>906</v>
      </c>
      <c r="H58" s="1191" t="s">
        <v>903</v>
      </c>
      <c r="I58" s="185"/>
      <c r="J58" s="185"/>
      <c r="K58" s="971" t="s">
        <v>795</v>
      </c>
      <c r="L58" s="1175" t="s">
        <v>905</v>
      </c>
      <c r="M58" s="1175" t="s">
        <v>120</v>
      </c>
      <c r="N58" s="961"/>
    </row>
    <row r="59" spans="1:14" ht="12.75">
      <c r="A59" s="960"/>
      <c r="B59" s="185"/>
      <c r="C59" s="974"/>
      <c r="D59" s="974"/>
      <c r="E59" s="974"/>
      <c r="F59" s="974"/>
      <c r="G59" s="974"/>
      <c r="H59" s="974"/>
      <c r="I59" s="967"/>
      <c r="J59" s="967"/>
      <c r="K59" s="973"/>
      <c r="L59" s="946"/>
      <c r="M59" s="946"/>
      <c r="N59" s="961"/>
    </row>
    <row r="60" spans="1:14" ht="12.75">
      <c r="A60" s="960"/>
      <c r="I60" s="967"/>
      <c r="J60" s="967"/>
      <c r="K60" s="973"/>
      <c r="L60" s="1624" t="s">
        <v>512</v>
      </c>
      <c r="M60" s="1624"/>
      <c r="N60" s="961"/>
    </row>
    <row r="61" spans="1:14" ht="12.75">
      <c r="A61" s="960"/>
      <c r="I61" s="967"/>
      <c r="J61" s="967"/>
      <c r="K61" s="971" t="s">
        <v>510</v>
      </c>
      <c r="L61" s="969" t="s">
        <v>950</v>
      </c>
      <c r="M61" s="969" t="s">
        <v>122</v>
      </c>
      <c r="N61" s="961"/>
    </row>
    <row r="62" spans="1:14" ht="12.75">
      <c r="A62" s="975"/>
      <c r="B62" s="185"/>
      <c r="C62" s="990" t="s">
        <v>385</v>
      </c>
      <c r="D62" s="990"/>
      <c r="E62" s="990"/>
      <c r="F62" s="990"/>
      <c r="G62" s="990"/>
      <c r="H62" s="990"/>
      <c r="I62" s="967"/>
      <c r="J62" s="967"/>
      <c r="K62" s="971" t="s">
        <v>795</v>
      </c>
      <c r="L62" s="1175" t="s">
        <v>961</v>
      </c>
      <c r="M62" s="1175" t="s">
        <v>796</v>
      </c>
      <c r="N62" s="961"/>
    </row>
    <row r="63" spans="1:14" ht="11.25">
      <c r="A63" s="976"/>
      <c r="B63" s="185"/>
      <c r="C63" s="991" t="s">
        <v>89</v>
      </c>
      <c r="D63" s="991"/>
      <c r="E63" s="991" t="s">
        <v>88</v>
      </c>
      <c r="F63" s="991"/>
      <c r="G63" s="991" t="s">
        <v>124</v>
      </c>
      <c r="H63" s="991"/>
      <c r="I63" s="978"/>
      <c r="J63" s="978"/>
      <c r="K63" s="185"/>
      <c r="L63" s="185"/>
      <c r="M63" s="185"/>
      <c r="N63" s="961"/>
    </row>
    <row r="64" spans="1:14" ht="11.25">
      <c r="A64" s="976"/>
      <c r="B64" s="185"/>
      <c r="C64" s="987" t="s">
        <v>134</v>
      </c>
      <c r="D64" s="987" t="s">
        <v>386</v>
      </c>
      <c r="E64" s="987" t="s">
        <v>134</v>
      </c>
      <c r="F64" s="987" t="s">
        <v>386</v>
      </c>
      <c r="G64" s="987" t="s">
        <v>134</v>
      </c>
      <c r="H64" s="987" t="s">
        <v>386</v>
      </c>
      <c r="I64" s="185"/>
      <c r="J64" s="185"/>
      <c r="K64" s="185"/>
      <c r="L64" s="979" t="s">
        <v>962</v>
      </c>
      <c r="M64" s="185"/>
      <c r="N64" s="961"/>
    </row>
    <row r="65" spans="1:14" ht="11.25">
      <c r="A65" s="976"/>
      <c r="B65" s="1186" t="s">
        <v>312</v>
      </c>
      <c r="C65" s="1191" t="s">
        <v>911</v>
      </c>
      <c r="D65" s="1191" t="s">
        <v>865</v>
      </c>
      <c r="E65" s="1191" t="s">
        <v>912</v>
      </c>
      <c r="F65" s="1191" t="s">
        <v>867</v>
      </c>
      <c r="G65" s="1191" t="s">
        <v>913</v>
      </c>
      <c r="H65" s="1191" t="s">
        <v>867</v>
      </c>
      <c r="I65" s="978"/>
      <c r="J65" s="978"/>
      <c r="K65" s="295"/>
      <c r="L65" s="977"/>
      <c r="M65" s="185"/>
      <c r="N65" s="961"/>
    </row>
    <row r="66" spans="1:14" ht="11.25">
      <c r="A66" s="960"/>
      <c r="B66" s="1186" t="s">
        <v>773</v>
      </c>
      <c r="C66" s="1191" t="s">
        <v>914</v>
      </c>
      <c r="D66" s="1191" t="s">
        <v>865</v>
      </c>
      <c r="E66" s="1191" t="s">
        <v>915</v>
      </c>
      <c r="F66" s="1191" t="s">
        <v>275</v>
      </c>
      <c r="G66" s="1191" t="s">
        <v>911</v>
      </c>
      <c r="H66" s="1191" t="s">
        <v>865</v>
      </c>
      <c r="I66" s="295"/>
      <c r="J66" s="295"/>
      <c r="K66" s="295"/>
      <c r="L66" s="297"/>
      <c r="M66" s="185"/>
      <c r="N66" s="961"/>
    </row>
    <row r="67" spans="1:14" ht="11.25">
      <c r="A67" s="960"/>
      <c r="B67" s="1186" t="s">
        <v>774</v>
      </c>
      <c r="C67" s="1191" t="s">
        <v>916</v>
      </c>
      <c r="D67" s="1191" t="s">
        <v>868</v>
      </c>
      <c r="E67" s="1191" t="s">
        <v>917</v>
      </c>
      <c r="F67" s="1191" t="s">
        <v>918</v>
      </c>
      <c r="G67" s="1191" t="s">
        <v>919</v>
      </c>
      <c r="H67" s="1191" t="s">
        <v>868</v>
      </c>
      <c r="I67" s="185"/>
      <c r="J67" s="185"/>
      <c r="K67" s="185"/>
      <c r="L67" s="185"/>
      <c r="M67" s="185"/>
      <c r="N67" s="961"/>
    </row>
    <row r="68" spans="1:14" ht="12">
      <c r="A68" s="960"/>
      <c r="B68" s="1186" t="s">
        <v>775</v>
      </c>
      <c r="C68" s="1191" t="s">
        <v>920</v>
      </c>
      <c r="D68" s="1191" t="s">
        <v>120</v>
      </c>
      <c r="E68" s="1191" t="s">
        <v>921</v>
      </c>
      <c r="F68" s="1191" t="s">
        <v>122</v>
      </c>
      <c r="G68" s="1191" t="s">
        <v>922</v>
      </c>
      <c r="H68" s="1191" t="s">
        <v>122</v>
      </c>
      <c r="I68" s="989"/>
      <c r="J68" s="1623"/>
      <c r="K68" s="1623"/>
      <c r="L68" s="1623"/>
      <c r="M68" s="980"/>
      <c r="N68" s="961"/>
    </row>
    <row r="69" spans="1:14">
      <c r="A69" s="960"/>
      <c r="I69" s="185"/>
      <c r="J69" s="185"/>
      <c r="K69" s="185"/>
      <c r="L69" s="185"/>
      <c r="M69" s="185"/>
      <c r="N69" s="961"/>
    </row>
    <row r="70" spans="1:14" ht="12">
      <c r="A70" s="988"/>
      <c r="I70" s="974"/>
      <c r="J70" s="974"/>
      <c r="K70" s="974"/>
      <c r="L70" s="974"/>
      <c r="M70" s="974"/>
      <c r="N70" s="961"/>
    </row>
    <row r="71" spans="1:14" ht="12">
      <c r="A71" s="960"/>
      <c r="B71" s="947"/>
      <c r="C71" s="947"/>
      <c r="D71" s="651"/>
      <c r="E71" s="651"/>
      <c r="F71" s="651"/>
      <c r="G71" s="651"/>
      <c r="H71" s="651"/>
      <c r="I71" s="185"/>
      <c r="J71" s="185"/>
      <c r="K71" s="185"/>
      <c r="L71" s="185"/>
      <c r="M71" s="185"/>
      <c r="N71" s="961"/>
    </row>
    <row r="72" spans="1:14">
      <c r="A72" s="960"/>
      <c r="B72" s="185"/>
      <c r="C72" s="185"/>
      <c r="D72" s="185"/>
      <c r="E72" s="185"/>
      <c r="F72" s="185"/>
      <c r="G72" s="185"/>
      <c r="H72" s="185"/>
      <c r="I72" s="185"/>
      <c r="J72" s="185"/>
      <c r="K72" s="185"/>
      <c r="L72" s="185"/>
      <c r="M72" s="185"/>
      <c r="N72" s="961"/>
    </row>
    <row r="73" spans="1:14" ht="11.25">
      <c r="A73" s="960"/>
      <c r="B73" s="185"/>
      <c r="C73" s="990" t="s">
        <v>387</v>
      </c>
      <c r="D73" s="990"/>
      <c r="E73" s="990"/>
      <c r="F73" s="990"/>
      <c r="G73" s="990"/>
      <c r="H73" s="990"/>
      <c r="I73" s="185"/>
      <c r="J73" s="185"/>
      <c r="K73" s="185"/>
      <c r="L73" s="185"/>
      <c r="M73" s="185"/>
      <c r="N73" s="961"/>
    </row>
    <row r="74" spans="1:14" ht="11.25">
      <c r="A74" s="982"/>
      <c r="B74" s="185"/>
      <c r="C74" s="991" t="s">
        <v>89</v>
      </c>
      <c r="D74" s="991"/>
      <c r="E74" s="991" t="s">
        <v>88</v>
      </c>
      <c r="F74" s="991"/>
      <c r="G74" s="991" t="s">
        <v>124</v>
      </c>
      <c r="H74" s="991"/>
      <c r="I74" s="295"/>
      <c r="J74" s="295"/>
      <c r="K74" s="295"/>
      <c r="L74" s="295"/>
      <c r="M74" s="185"/>
      <c r="N74" s="961"/>
    </row>
    <row r="75" spans="1:14" ht="11.25">
      <c r="A75" s="976"/>
      <c r="B75" s="185"/>
      <c r="C75" s="987" t="s">
        <v>134</v>
      </c>
      <c r="D75" s="987" t="s">
        <v>386</v>
      </c>
      <c r="E75" s="987" t="s">
        <v>134</v>
      </c>
      <c r="F75" s="987" t="s">
        <v>386</v>
      </c>
      <c r="G75" s="987" t="s">
        <v>134</v>
      </c>
      <c r="H75" s="987" t="s">
        <v>386</v>
      </c>
      <c r="I75" s="295"/>
      <c r="J75" s="295"/>
      <c r="K75" s="295"/>
      <c r="L75" s="295"/>
      <c r="M75" s="983"/>
      <c r="N75" s="961"/>
    </row>
    <row r="76" spans="1:14" ht="11.25">
      <c r="A76" s="976"/>
      <c r="B76" s="1186" t="s">
        <v>123</v>
      </c>
      <c r="C76" s="1191" t="s">
        <v>945</v>
      </c>
      <c r="D76" s="1191" t="s">
        <v>946</v>
      </c>
      <c r="E76" s="1191" t="s">
        <v>932</v>
      </c>
      <c r="F76" s="1191" t="s">
        <v>930</v>
      </c>
      <c r="G76" s="1191" t="s">
        <v>947</v>
      </c>
      <c r="H76" s="1191" t="s">
        <v>946</v>
      </c>
      <c r="I76" s="978"/>
      <c r="J76" s="978"/>
      <c r="K76" s="295"/>
      <c r="L76" s="977"/>
      <c r="M76" s="185"/>
      <c r="N76" s="961"/>
    </row>
    <row r="77" spans="1:14" ht="11.25">
      <c r="A77" s="976"/>
      <c r="B77" s="1186" t="s">
        <v>312</v>
      </c>
      <c r="C77" s="1191" t="s">
        <v>923</v>
      </c>
      <c r="D77" s="1191" t="s">
        <v>925</v>
      </c>
      <c r="E77" s="1191" t="s">
        <v>924</v>
      </c>
      <c r="F77" s="1191" t="s">
        <v>926</v>
      </c>
      <c r="G77" s="1191" t="s">
        <v>918</v>
      </c>
      <c r="H77" s="1191" t="s">
        <v>925</v>
      </c>
      <c r="I77" s="978"/>
      <c r="J77" s="978"/>
      <c r="K77" s="295"/>
      <c r="L77" s="977"/>
      <c r="M77" s="185"/>
      <c r="N77" s="961"/>
    </row>
    <row r="78" spans="1:14" ht="11.25">
      <c r="A78" s="976"/>
      <c r="B78" s="1186" t="s">
        <v>773</v>
      </c>
      <c r="C78" s="1191" t="s">
        <v>927</v>
      </c>
      <c r="D78" s="1191" t="s">
        <v>928</v>
      </c>
      <c r="E78" s="1191" t="s">
        <v>929</v>
      </c>
      <c r="F78" s="1191" t="s">
        <v>930</v>
      </c>
      <c r="G78" s="1191" t="s">
        <v>931</v>
      </c>
      <c r="H78" s="1191" t="s">
        <v>928</v>
      </c>
      <c r="I78" s="978"/>
      <c r="J78" s="978"/>
      <c r="K78" s="295"/>
      <c r="L78" s="977"/>
      <c r="M78" s="185"/>
      <c r="N78" s="961"/>
    </row>
    <row r="79" spans="1:14" ht="11.25">
      <c r="A79" s="976"/>
      <c r="B79" s="1186" t="s">
        <v>774</v>
      </c>
      <c r="C79" s="1191" t="s">
        <v>932</v>
      </c>
      <c r="D79" s="1191" t="s">
        <v>930</v>
      </c>
      <c r="E79" s="1191" t="s">
        <v>933</v>
      </c>
      <c r="F79" s="1191" t="s">
        <v>934</v>
      </c>
      <c r="G79" s="1191" t="s">
        <v>935</v>
      </c>
      <c r="H79" s="1191" t="s">
        <v>930</v>
      </c>
      <c r="I79" s="978"/>
      <c r="J79" s="978"/>
      <c r="K79" s="295"/>
      <c r="L79" s="977"/>
      <c r="M79" s="185"/>
      <c r="N79" s="961"/>
    </row>
    <row r="80" spans="1:14" ht="11.25">
      <c r="A80" s="976"/>
      <c r="B80" s="1186" t="s">
        <v>775</v>
      </c>
      <c r="C80" s="1191" t="s">
        <v>936</v>
      </c>
      <c r="D80" s="1191" t="s">
        <v>868</v>
      </c>
      <c r="E80" s="1191" t="s">
        <v>937</v>
      </c>
      <c r="F80" s="1191" t="s">
        <v>938</v>
      </c>
      <c r="G80" s="1191" t="s">
        <v>939</v>
      </c>
      <c r="H80" s="1191" t="s">
        <v>868</v>
      </c>
      <c r="I80" s="295"/>
      <c r="J80" s="295"/>
      <c r="K80" s="295"/>
      <c r="L80" s="295"/>
      <c r="M80" s="185"/>
      <c r="N80" s="961"/>
    </row>
    <row r="81" spans="1:14">
      <c r="A81" s="960"/>
      <c r="I81" s="185"/>
      <c r="J81" s="185"/>
      <c r="K81" s="185"/>
      <c r="L81" s="185"/>
      <c r="M81" s="185"/>
      <c r="N81" s="961"/>
    </row>
    <row r="82" spans="1:14">
      <c r="A82" s="960"/>
      <c r="I82" s="185"/>
      <c r="J82" s="185"/>
      <c r="K82" s="185"/>
      <c r="L82" s="185"/>
      <c r="M82" s="185"/>
      <c r="N82" s="961"/>
    </row>
    <row r="83" spans="1:14">
      <c r="A83" s="960"/>
      <c r="I83" s="185"/>
      <c r="J83" s="185"/>
      <c r="K83" s="185"/>
      <c r="L83" s="185"/>
      <c r="M83" s="185"/>
      <c r="N83" s="961"/>
    </row>
    <row r="84" spans="1:14" ht="11.25">
      <c r="A84" s="960"/>
      <c r="B84" s="981"/>
      <c r="C84" s="990" t="s">
        <v>749</v>
      </c>
      <c r="D84" s="990"/>
      <c r="E84" s="990"/>
      <c r="F84" s="990"/>
      <c r="G84" s="990"/>
      <c r="H84" s="990"/>
      <c r="I84" s="185"/>
      <c r="J84" s="185"/>
      <c r="K84" s="185"/>
      <c r="L84" s="185"/>
      <c r="M84" s="185"/>
      <c r="N84" s="961"/>
    </row>
    <row r="85" spans="1:14" ht="11.25">
      <c r="A85" s="960"/>
      <c r="B85" s="981"/>
      <c r="C85" s="991" t="s">
        <v>89</v>
      </c>
      <c r="D85" s="991"/>
      <c r="E85" s="991" t="s">
        <v>88</v>
      </c>
      <c r="F85" s="991"/>
      <c r="G85" s="991" t="s">
        <v>124</v>
      </c>
      <c r="H85" s="991"/>
      <c r="I85" s="185"/>
      <c r="J85" s="185"/>
      <c r="K85" s="185"/>
      <c r="L85" s="185"/>
      <c r="M85" s="185"/>
      <c r="N85" s="961"/>
    </row>
    <row r="86" spans="1:14" ht="11.25">
      <c r="A86" s="960"/>
      <c r="B86" s="981"/>
      <c r="C86" s="987" t="s">
        <v>134</v>
      </c>
      <c r="D86" s="987" t="s">
        <v>386</v>
      </c>
      <c r="E86" s="987" t="s">
        <v>134</v>
      </c>
      <c r="F86" s="987" t="s">
        <v>386</v>
      </c>
      <c r="G86" s="987" t="s">
        <v>134</v>
      </c>
      <c r="H86" s="987" t="s">
        <v>386</v>
      </c>
      <c r="I86" s="185"/>
      <c r="J86" s="185"/>
      <c r="K86" s="185"/>
      <c r="L86" s="185"/>
      <c r="M86" s="185"/>
      <c r="N86" s="961"/>
    </row>
    <row r="87" spans="1:14" ht="11.25">
      <c r="A87" s="960"/>
      <c r="B87" s="981"/>
      <c r="C87" s="1191" t="s">
        <v>949</v>
      </c>
      <c r="D87" s="1191" t="s">
        <v>275</v>
      </c>
      <c r="E87" s="1191" t="s">
        <v>950</v>
      </c>
      <c r="F87" s="1191" t="s">
        <v>122</v>
      </c>
      <c r="G87" s="1191" t="s">
        <v>951</v>
      </c>
      <c r="H87" s="1191" t="s">
        <v>275</v>
      </c>
      <c r="I87" s="185"/>
      <c r="J87" s="185"/>
      <c r="K87" s="185"/>
      <c r="L87" s="185"/>
      <c r="M87" s="185"/>
      <c r="N87" s="961"/>
    </row>
    <row r="88" spans="1:14" ht="11.25">
      <c r="A88" s="960"/>
      <c r="B88" s="1186" t="s">
        <v>60</v>
      </c>
      <c r="C88" s="1191" t="s">
        <v>952</v>
      </c>
      <c r="D88" s="1191" t="s">
        <v>845</v>
      </c>
      <c r="E88" s="1191" t="s">
        <v>953</v>
      </c>
      <c r="F88" s="1191" t="s">
        <v>275</v>
      </c>
      <c r="G88" s="1191" t="s">
        <v>949</v>
      </c>
      <c r="H88" s="1191" t="s">
        <v>275</v>
      </c>
      <c r="I88" s="185"/>
      <c r="J88" s="185"/>
      <c r="K88" s="185"/>
      <c r="L88" s="185"/>
      <c r="M88" s="185"/>
      <c r="N88" s="961"/>
    </row>
    <row r="89" spans="1:14" ht="11.25">
      <c r="A89" s="960"/>
      <c r="B89" s="1186" t="s">
        <v>61</v>
      </c>
      <c r="C89" s="1191" t="s">
        <v>954</v>
      </c>
      <c r="D89" s="1191" t="s">
        <v>275</v>
      </c>
      <c r="E89" s="1191" t="s">
        <v>955</v>
      </c>
      <c r="F89" s="1191" t="s">
        <v>796</v>
      </c>
      <c r="G89" s="1191" t="s">
        <v>956</v>
      </c>
      <c r="H89" s="1191" t="s">
        <v>122</v>
      </c>
      <c r="I89" s="185"/>
      <c r="J89" s="185"/>
      <c r="K89" s="185"/>
      <c r="L89" s="185"/>
      <c r="M89" s="185"/>
      <c r="N89" s="961"/>
    </row>
    <row r="90" spans="1:14" ht="11.25">
      <c r="A90" s="960"/>
      <c r="B90" s="1186" t="s">
        <v>62</v>
      </c>
      <c r="C90" s="1191" t="s">
        <v>957</v>
      </c>
      <c r="D90" s="1191" t="s">
        <v>958</v>
      </c>
      <c r="E90" s="1191" t="s">
        <v>920</v>
      </c>
      <c r="F90" s="1191" t="s">
        <v>120</v>
      </c>
      <c r="G90" s="1191" t="s">
        <v>959</v>
      </c>
      <c r="H90" s="1191" t="s">
        <v>121</v>
      </c>
      <c r="I90" s="185"/>
      <c r="J90" s="185"/>
      <c r="K90" s="185"/>
      <c r="L90" s="185"/>
      <c r="M90" s="185"/>
      <c r="N90" s="961"/>
    </row>
    <row r="91" spans="1:14">
      <c r="A91" s="960"/>
      <c r="I91" s="185"/>
      <c r="J91" s="185"/>
      <c r="K91" s="185"/>
      <c r="L91" s="185"/>
      <c r="M91" s="185"/>
      <c r="N91" s="961"/>
    </row>
    <row r="92" spans="1:14">
      <c r="A92" s="984"/>
      <c r="B92" s="985"/>
      <c r="C92" s="985"/>
      <c r="D92" s="985"/>
      <c r="E92" s="985"/>
      <c r="F92" s="985"/>
      <c r="G92" s="985"/>
      <c r="H92" s="985"/>
      <c r="I92" s="985"/>
      <c r="J92" s="985"/>
      <c r="K92" s="985"/>
      <c r="L92" s="985"/>
      <c r="M92" s="985"/>
      <c r="N92" s="986"/>
    </row>
    <row r="93" spans="1:14" ht="18.75">
      <c r="A93" s="1223"/>
      <c r="B93" s="1224" t="s">
        <v>384</v>
      </c>
      <c r="C93" s="1170"/>
      <c r="D93" s="1170"/>
      <c r="E93" s="1170"/>
      <c r="F93" s="1170"/>
      <c r="G93" s="1170"/>
      <c r="H93" s="1170"/>
      <c r="I93" s="1170"/>
      <c r="J93" s="1170"/>
      <c r="K93" s="1170"/>
      <c r="L93" s="1170"/>
      <c r="M93" s="1170"/>
      <c r="N93" s="959"/>
    </row>
    <row r="94" spans="1:14">
      <c r="A94" s="960"/>
      <c r="B94" s="1164"/>
      <c r="C94" s="1164"/>
      <c r="D94" s="1164"/>
      <c r="E94" s="1164"/>
      <c r="F94" s="1164"/>
      <c r="G94" s="1164"/>
      <c r="H94" s="1164"/>
      <c r="I94" s="1164"/>
      <c r="J94" s="1164"/>
      <c r="K94" s="1164"/>
      <c r="L94" s="1164"/>
      <c r="M94" s="1164"/>
      <c r="N94" s="961"/>
    </row>
    <row r="95" spans="1:14" ht="11.25">
      <c r="A95" s="960"/>
      <c r="B95" s="1225" t="s">
        <v>768</v>
      </c>
      <c r="C95" s="1164"/>
      <c r="D95" s="1164"/>
      <c r="E95" s="1164"/>
      <c r="F95" s="1164"/>
      <c r="G95" s="1164"/>
      <c r="H95" s="1164"/>
      <c r="I95" s="1164"/>
      <c r="J95" s="1164"/>
      <c r="K95" s="1164"/>
      <c r="L95" s="1171"/>
      <c r="M95" s="1164"/>
      <c r="N95" s="961"/>
    </row>
    <row r="96" spans="1:14" ht="15">
      <c r="A96" s="960"/>
      <c r="B96" s="1164"/>
      <c r="C96" s="1164"/>
      <c r="D96" s="1164"/>
      <c r="E96" s="1164"/>
      <c r="F96" s="1164"/>
      <c r="G96" s="1164"/>
      <c r="H96" s="1164"/>
      <c r="I96" s="1164"/>
      <c r="J96" s="1164"/>
      <c r="K96" s="1164"/>
      <c r="L96" s="1172" t="s">
        <v>474</v>
      </c>
      <c r="M96" s="1172" t="s">
        <v>475</v>
      </c>
      <c r="N96" s="961"/>
    </row>
    <row r="97" spans="1:14" ht="12.75">
      <c r="A97" s="960"/>
      <c r="B97" s="1173"/>
      <c r="C97" s="1188" t="s">
        <v>276</v>
      </c>
      <c r="D97" s="1188"/>
      <c r="E97" s="1188"/>
      <c r="F97" s="1188"/>
      <c r="G97" s="1188"/>
      <c r="H97" s="1188"/>
      <c r="I97" s="1173"/>
      <c r="J97" s="1173"/>
      <c r="K97" s="1174"/>
      <c r="L97" s="1175"/>
      <c r="M97" s="1175"/>
      <c r="N97" s="961"/>
    </row>
    <row r="98" spans="1:14" ht="12.75">
      <c r="A98" s="960"/>
      <c r="B98" s="1173"/>
      <c r="C98" s="1189" t="s">
        <v>89</v>
      </c>
      <c r="D98" s="1189"/>
      <c r="E98" s="1189" t="s">
        <v>88</v>
      </c>
      <c r="F98" s="1189"/>
      <c r="G98" s="1189" t="s">
        <v>124</v>
      </c>
      <c r="H98" s="1189"/>
      <c r="I98" s="1173"/>
      <c r="J98" s="1173"/>
      <c r="K98" s="1173"/>
      <c r="L98" s="1624" t="s">
        <v>513</v>
      </c>
      <c r="M98" s="1624"/>
      <c r="N98" s="961"/>
    </row>
    <row r="99" spans="1:14" ht="12.75">
      <c r="A99" s="960"/>
      <c r="B99" s="1173"/>
      <c r="C99" s="1186" t="s">
        <v>134</v>
      </c>
      <c r="D99" s="1186" t="s">
        <v>386</v>
      </c>
      <c r="E99" s="1186" t="s">
        <v>134</v>
      </c>
      <c r="F99" s="1186" t="s">
        <v>386</v>
      </c>
      <c r="G99" s="1186" t="s">
        <v>134</v>
      </c>
      <c r="H99" s="1186" t="s">
        <v>386</v>
      </c>
      <c r="I99" s="1173"/>
      <c r="J99" s="1173"/>
      <c r="K99" s="1176" t="s">
        <v>510</v>
      </c>
      <c r="L99" s="1175" t="s">
        <v>845</v>
      </c>
      <c r="M99" s="1175" t="s">
        <v>275</v>
      </c>
      <c r="N99" s="961"/>
    </row>
    <row r="100" spans="1:14" ht="12.75">
      <c r="A100" s="960"/>
      <c r="B100" s="1187" t="s">
        <v>123</v>
      </c>
      <c r="C100" s="1191">
        <v>47</v>
      </c>
      <c r="D100" s="1191">
        <v>47</v>
      </c>
      <c r="E100" s="1191">
        <v>49</v>
      </c>
      <c r="F100" s="1191">
        <v>50</v>
      </c>
      <c r="G100" s="1191">
        <v>49</v>
      </c>
      <c r="H100" s="1191">
        <v>49</v>
      </c>
      <c r="I100" s="1173"/>
      <c r="J100" s="1173"/>
      <c r="K100" s="1176" t="s">
        <v>795</v>
      </c>
      <c r="L100" s="1175" t="s">
        <v>120</v>
      </c>
      <c r="M100" s="1175" t="s">
        <v>120</v>
      </c>
      <c r="N100" s="961"/>
    </row>
    <row r="101" spans="1:14" ht="12.75">
      <c r="A101" s="960"/>
      <c r="B101" s="1187" t="s">
        <v>312</v>
      </c>
      <c r="C101" s="1191">
        <v>48</v>
      </c>
      <c r="D101" s="1191" t="s">
        <v>121</v>
      </c>
      <c r="E101" s="1191">
        <v>48</v>
      </c>
      <c r="F101" s="1191" t="s">
        <v>120</v>
      </c>
      <c r="G101" s="1191">
        <v>48</v>
      </c>
      <c r="H101" s="1191" t="s">
        <v>121</v>
      </c>
      <c r="I101" s="1164"/>
      <c r="J101" s="1164"/>
      <c r="K101" s="1177"/>
      <c r="L101" s="1175"/>
      <c r="M101" s="1175"/>
      <c r="N101" s="961"/>
    </row>
    <row r="102" spans="1:14" ht="12.75">
      <c r="A102" s="960"/>
      <c r="B102" s="1187" t="s">
        <v>773</v>
      </c>
      <c r="C102" s="1191">
        <v>48</v>
      </c>
      <c r="D102" s="1191">
        <v>48</v>
      </c>
      <c r="E102" s="1191">
        <v>47</v>
      </c>
      <c r="F102" s="1191">
        <v>46</v>
      </c>
      <c r="G102" s="1191">
        <v>47</v>
      </c>
      <c r="H102" s="1191">
        <v>48</v>
      </c>
      <c r="I102" s="1164"/>
      <c r="J102" s="1164"/>
      <c r="K102" s="1178"/>
      <c r="L102" s="1624" t="s">
        <v>511</v>
      </c>
      <c r="M102" s="1624"/>
      <c r="N102" s="961"/>
    </row>
    <row r="103" spans="1:14" ht="12.75">
      <c r="A103" s="960"/>
      <c r="B103" s="1187" t="s">
        <v>774</v>
      </c>
      <c r="C103" s="1191">
        <v>47</v>
      </c>
      <c r="D103" s="1191">
        <v>47</v>
      </c>
      <c r="E103" s="1191">
        <v>49</v>
      </c>
      <c r="F103" s="1191">
        <v>50</v>
      </c>
      <c r="G103" s="1191">
        <v>47</v>
      </c>
      <c r="H103" s="1191">
        <v>48</v>
      </c>
      <c r="I103" s="1164"/>
      <c r="J103" s="1164"/>
      <c r="K103" s="1176" t="s">
        <v>510</v>
      </c>
      <c r="L103" s="1175" t="s">
        <v>845</v>
      </c>
      <c r="M103" s="1175" t="s">
        <v>275</v>
      </c>
      <c r="N103" s="961"/>
    </row>
    <row r="104" spans="1:14" ht="12.75">
      <c r="A104" s="960"/>
      <c r="B104" s="1187" t="s">
        <v>775</v>
      </c>
      <c r="C104" s="1191">
        <v>49</v>
      </c>
      <c r="D104" s="1191">
        <v>50</v>
      </c>
      <c r="E104" s="1191">
        <v>48</v>
      </c>
      <c r="F104" s="1191">
        <v>48</v>
      </c>
      <c r="G104" s="1191">
        <v>49</v>
      </c>
      <c r="H104" s="1191">
        <v>50</v>
      </c>
      <c r="I104" s="1164"/>
      <c r="J104" s="1164"/>
      <c r="K104" s="1176" t="s">
        <v>795</v>
      </c>
      <c r="L104" s="1175" t="s">
        <v>120</v>
      </c>
      <c r="M104" s="1175" t="s">
        <v>121</v>
      </c>
      <c r="N104" s="961"/>
    </row>
    <row r="105" spans="1:14" ht="12.75">
      <c r="A105" s="960"/>
      <c r="B105" s="1190"/>
      <c r="C105" s="1192"/>
      <c r="D105" s="1192"/>
      <c r="E105" s="1192"/>
      <c r="F105" s="1192"/>
      <c r="G105" s="1192"/>
      <c r="H105" s="1192"/>
      <c r="I105" s="1173"/>
      <c r="J105" s="1173"/>
      <c r="K105" s="1178"/>
      <c r="L105" s="1220"/>
      <c r="M105" s="1220"/>
      <c r="N105" s="961"/>
    </row>
    <row r="106" spans="1:14" ht="12.75">
      <c r="A106" s="960"/>
      <c r="B106" s="1190"/>
      <c r="C106" s="1190"/>
      <c r="D106" s="1190"/>
      <c r="E106" s="1190"/>
      <c r="F106" s="1190"/>
      <c r="G106" s="1190"/>
      <c r="H106" s="1190"/>
      <c r="I106" s="1173"/>
      <c r="J106" s="1173"/>
      <c r="K106" s="1178"/>
      <c r="L106" s="1624" t="s">
        <v>512</v>
      </c>
      <c r="M106" s="1624"/>
      <c r="N106" s="961"/>
    </row>
    <row r="107" spans="1:14" ht="12.75">
      <c r="A107" s="960"/>
      <c r="B107" s="1190"/>
      <c r="C107" s="1190"/>
      <c r="D107" s="1190"/>
      <c r="E107" s="1190"/>
      <c r="F107" s="1190"/>
      <c r="G107" s="1190"/>
      <c r="H107" s="1190"/>
      <c r="I107" s="1173"/>
      <c r="J107" s="1173"/>
      <c r="K107" s="1176" t="s">
        <v>510</v>
      </c>
      <c r="L107" s="1175" t="s">
        <v>275</v>
      </c>
      <c r="M107" s="1175" t="s">
        <v>122</v>
      </c>
      <c r="N107" s="961"/>
    </row>
    <row r="108" spans="1:14" ht="12.75">
      <c r="A108" s="960"/>
      <c r="B108" s="1190"/>
      <c r="C108" s="1188" t="s">
        <v>385</v>
      </c>
      <c r="D108" s="1193"/>
      <c r="E108" s="1193"/>
      <c r="F108" s="1193"/>
      <c r="G108" s="1193"/>
      <c r="H108" s="1193"/>
      <c r="I108" s="1173"/>
      <c r="J108" s="1173"/>
      <c r="K108" s="1176" t="s">
        <v>795</v>
      </c>
      <c r="L108" s="1175" t="s">
        <v>796</v>
      </c>
      <c r="M108" s="1175" t="s">
        <v>796</v>
      </c>
      <c r="N108" s="961"/>
    </row>
    <row r="109" spans="1:14" ht="11.25">
      <c r="A109" s="960"/>
      <c r="B109" s="1190"/>
      <c r="C109" s="1189" t="s">
        <v>89</v>
      </c>
      <c r="D109" s="1189"/>
      <c r="E109" s="1189" t="s">
        <v>88</v>
      </c>
      <c r="F109" s="1189"/>
      <c r="G109" s="1189" t="s">
        <v>124</v>
      </c>
      <c r="H109" s="1189"/>
      <c r="I109" s="1181"/>
      <c r="J109" s="1181"/>
      <c r="K109" s="1164"/>
      <c r="L109" s="1164"/>
      <c r="M109" s="1164"/>
      <c r="N109" s="961"/>
    </row>
    <row r="110" spans="1:14" ht="11.25">
      <c r="A110" s="960"/>
      <c r="B110" s="1190"/>
      <c r="C110" s="1186" t="s">
        <v>134</v>
      </c>
      <c r="D110" s="1186" t="s">
        <v>386</v>
      </c>
      <c r="E110" s="1186" t="s">
        <v>134</v>
      </c>
      <c r="F110" s="1186" t="s">
        <v>386</v>
      </c>
      <c r="G110" s="1186" t="s">
        <v>134</v>
      </c>
      <c r="H110" s="1186" t="s">
        <v>386</v>
      </c>
      <c r="I110" s="1164"/>
      <c r="J110" s="1164"/>
      <c r="K110" s="1164"/>
      <c r="L110" s="1182" t="s">
        <v>846</v>
      </c>
      <c r="M110" s="1164"/>
      <c r="N110" s="961"/>
    </row>
    <row r="111" spans="1:14" s="1161" customFormat="1" ht="11.25">
      <c r="A111" s="960"/>
      <c r="B111" s="1187" t="s">
        <v>312</v>
      </c>
      <c r="C111" s="1191">
        <v>43</v>
      </c>
      <c r="D111" s="1191">
        <v>41</v>
      </c>
      <c r="E111" s="1191">
        <v>43</v>
      </c>
      <c r="F111" s="1191">
        <v>44</v>
      </c>
      <c r="G111" s="1191">
        <v>43</v>
      </c>
      <c r="H111" s="1191">
        <v>41</v>
      </c>
      <c r="I111" s="1164"/>
      <c r="J111" s="1164"/>
      <c r="K111" s="1164"/>
      <c r="L111" s="1182"/>
      <c r="M111" s="1164"/>
      <c r="N111" s="961"/>
    </row>
    <row r="112" spans="1:14" ht="11.25">
      <c r="A112" s="960"/>
      <c r="B112" s="1187" t="s">
        <v>773</v>
      </c>
      <c r="C112" s="1191">
        <v>41</v>
      </c>
      <c r="D112" s="1191">
        <v>39</v>
      </c>
      <c r="E112" s="1191">
        <v>49</v>
      </c>
      <c r="F112" s="1191">
        <v>49</v>
      </c>
      <c r="G112" s="1191">
        <v>43</v>
      </c>
      <c r="H112" s="1191">
        <v>43</v>
      </c>
      <c r="I112" s="1181"/>
      <c r="J112" s="1181"/>
      <c r="K112" s="1166"/>
      <c r="L112" s="1180"/>
      <c r="M112" s="1164"/>
      <c r="N112" s="961"/>
    </row>
    <row r="113" spans="1:14" ht="11.25">
      <c r="A113" s="960"/>
      <c r="B113" s="1187" t="s">
        <v>774</v>
      </c>
      <c r="C113" s="1191">
        <v>39</v>
      </c>
      <c r="D113" s="1191">
        <v>35</v>
      </c>
      <c r="E113" s="1191">
        <v>36</v>
      </c>
      <c r="F113" s="1191">
        <v>33</v>
      </c>
      <c r="G113" s="1191">
        <v>38</v>
      </c>
      <c r="H113" s="1191">
        <v>35</v>
      </c>
      <c r="I113" s="1166"/>
      <c r="J113" s="1166"/>
      <c r="K113" s="1166"/>
      <c r="L113" s="1167"/>
      <c r="M113" s="1164"/>
      <c r="N113" s="961"/>
    </row>
    <row r="114" spans="1:14" ht="11.25">
      <c r="A114" s="960"/>
      <c r="B114" s="1187" t="s">
        <v>775</v>
      </c>
      <c r="C114" s="1191">
        <v>42</v>
      </c>
      <c r="D114" s="1191">
        <v>48</v>
      </c>
      <c r="E114" s="1191">
        <v>38</v>
      </c>
      <c r="F114" s="1191">
        <v>44</v>
      </c>
      <c r="G114" s="1191">
        <v>40</v>
      </c>
      <c r="H114" s="1191">
        <v>46</v>
      </c>
      <c r="I114" s="1164"/>
      <c r="J114" s="1164"/>
      <c r="K114" s="1164"/>
      <c r="L114" s="1164"/>
      <c r="M114" s="1164"/>
      <c r="N114" s="961"/>
    </row>
    <row r="115" spans="1:14" ht="12">
      <c r="A115" s="960"/>
      <c r="B115" s="1190"/>
      <c r="C115" s="1190"/>
      <c r="D115" s="1190"/>
      <c r="E115" s="1190"/>
      <c r="F115" s="1190"/>
      <c r="G115" s="1190"/>
      <c r="H115" s="1190"/>
      <c r="I115" s="1222"/>
      <c r="J115" s="1623"/>
      <c r="K115" s="1623"/>
      <c r="L115" s="1623"/>
      <c r="M115" s="1183"/>
      <c r="N115" s="961"/>
    </row>
    <row r="116" spans="1:14">
      <c r="A116" s="960"/>
      <c r="B116" s="1190"/>
      <c r="C116" s="1190"/>
      <c r="D116" s="1190"/>
      <c r="E116" s="1190"/>
      <c r="F116" s="1190"/>
      <c r="G116" s="1190"/>
      <c r="H116" s="1190"/>
      <c r="I116" s="1164"/>
      <c r="J116" s="1164"/>
      <c r="K116" s="1164"/>
      <c r="L116" s="1164"/>
      <c r="M116" s="1164"/>
      <c r="N116" s="961"/>
    </row>
    <row r="117" spans="1:14" ht="12">
      <c r="A117" s="960"/>
      <c r="B117" s="1221"/>
      <c r="C117" s="1221"/>
      <c r="D117" s="1168"/>
      <c r="E117" s="1168"/>
      <c r="F117" s="1168"/>
      <c r="G117" s="1168"/>
      <c r="H117" s="1168"/>
      <c r="I117" s="1179"/>
      <c r="J117" s="1179"/>
      <c r="K117" s="1179"/>
      <c r="L117" s="1179"/>
      <c r="M117" s="1179"/>
      <c r="N117" s="961"/>
    </row>
    <row r="118" spans="1:14">
      <c r="A118" s="960"/>
      <c r="B118" s="1190"/>
      <c r="C118" s="1190"/>
      <c r="D118" s="1190"/>
      <c r="E118" s="1190"/>
      <c r="F118" s="1190"/>
      <c r="G118" s="1190"/>
      <c r="H118" s="1190"/>
      <c r="I118" s="1164"/>
      <c r="J118" s="1164"/>
      <c r="K118" s="1164"/>
      <c r="L118" s="1164"/>
      <c r="M118" s="1164"/>
      <c r="N118" s="961"/>
    </row>
    <row r="119" spans="1:14" ht="11.25">
      <c r="A119" s="960"/>
      <c r="B119" s="1190"/>
      <c r="C119" s="1188" t="s">
        <v>387</v>
      </c>
      <c r="D119" s="1193"/>
      <c r="E119" s="1193"/>
      <c r="F119" s="1193"/>
      <c r="G119" s="1193"/>
      <c r="H119" s="1193"/>
      <c r="I119" s="1164"/>
      <c r="J119" s="1164"/>
      <c r="K119" s="1164"/>
      <c r="L119" s="1164"/>
      <c r="M119" s="1164"/>
      <c r="N119" s="961"/>
    </row>
    <row r="120" spans="1:14" ht="11.25">
      <c r="A120" s="960"/>
      <c r="B120" s="1190"/>
      <c r="C120" s="1189" t="s">
        <v>89</v>
      </c>
      <c r="D120" s="1189"/>
      <c r="E120" s="1189" t="s">
        <v>88</v>
      </c>
      <c r="F120" s="1189"/>
      <c r="G120" s="1189" t="s">
        <v>124</v>
      </c>
      <c r="H120" s="1189"/>
      <c r="I120" s="1164"/>
      <c r="J120" s="1164"/>
      <c r="K120" s="1164"/>
      <c r="L120" s="1164"/>
      <c r="M120" s="1164"/>
      <c r="N120" s="961"/>
    </row>
    <row r="121" spans="1:14" ht="11.25">
      <c r="A121" s="960"/>
      <c r="B121" s="1190"/>
      <c r="C121" s="1186" t="s">
        <v>134</v>
      </c>
      <c r="D121" s="1186" t="s">
        <v>386</v>
      </c>
      <c r="E121" s="1186" t="s">
        <v>134</v>
      </c>
      <c r="F121" s="1186" t="s">
        <v>386</v>
      </c>
      <c r="G121" s="1186" t="s">
        <v>134</v>
      </c>
      <c r="H121" s="1186" t="s">
        <v>386</v>
      </c>
      <c r="I121" s="1166"/>
      <c r="J121" s="1166"/>
      <c r="K121" s="1166"/>
      <c r="L121" s="1166"/>
      <c r="M121" s="1164"/>
      <c r="N121" s="961"/>
    </row>
    <row r="122" spans="1:14" ht="11.25">
      <c r="A122" s="960"/>
      <c r="B122" s="1187" t="s">
        <v>123</v>
      </c>
      <c r="C122" s="1191">
        <v>31</v>
      </c>
      <c r="D122" s="1191">
        <v>29</v>
      </c>
      <c r="E122" s="1191">
        <v>32</v>
      </c>
      <c r="F122" s="1191">
        <v>30</v>
      </c>
      <c r="G122" s="1191">
        <v>32</v>
      </c>
      <c r="H122" s="1191">
        <v>29</v>
      </c>
      <c r="I122" s="1166"/>
      <c r="J122" s="1166"/>
      <c r="K122" s="1166"/>
      <c r="L122" s="1166"/>
      <c r="M122" s="1184"/>
      <c r="N122" s="961"/>
    </row>
    <row r="123" spans="1:14" ht="11.25">
      <c r="A123" s="960"/>
      <c r="B123" s="1187" t="s">
        <v>312</v>
      </c>
      <c r="C123" s="1191">
        <v>37</v>
      </c>
      <c r="D123" s="1191">
        <v>35</v>
      </c>
      <c r="E123" s="1191">
        <v>32</v>
      </c>
      <c r="F123" s="1191">
        <v>28</v>
      </c>
      <c r="G123" s="1191">
        <v>36</v>
      </c>
      <c r="H123" s="1191">
        <v>35</v>
      </c>
      <c r="I123" s="1181"/>
      <c r="J123" s="1181"/>
      <c r="K123" s="1166"/>
      <c r="L123" s="1180"/>
      <c r="M123" s="1164"/>
      <c r="N123" s="961"/>
    </row>
    <row r="124" spans="1:14" ht="11.25">
      <c r="A124" s="960"/>
      <c r="B124" s="1187" t="s">
        <v>773</v>
      </c>
      <c r="C124" s="1191">
        <v>42</v>
      </c>
      <c r="D124" s="1191">
        <v>36</v>
      </c>
      <c r="E124" s="1191">
        <v>38</v>
      </c>
      <c r="F124" s="1191">
        <v>28</v>
      </c>
      <c r="G124" s="1191">
        <v>40</v>
      </c>
      <c r="H124" s="1191">
        <v>33</v>
      </c>
      <c r="I124" s="1181"/>
      <c r="J124" s="1181"/>
      <c r="K124" s="1166"/>
      <c r="L124" s="1180"/>
      <c r="M124" s="1164"/>
      <c r="N124" s="961"/>
    </row>
    <row r="125" spans="1:14" ht="11.25">
      <c r="A125" s="960"/>
      <c r="B125" s="1187" t="s">
        <v>774</v>
      </c>
      <c r="C125" s="1191">
        <v>42</v>
      </c>
      <c r="D125" s="1191">
        <v>30</v>
      </c>
      <c r="E125" s="1191">
        <v>38</v>
      </c>
      <c r="F125" s="1191">
        <v>28</v>
      </c>
      <c r="G125" s="1191">
        <v>40</v>
      </c>
      <c r="H125" s="1191">
        <v>30</v>
      </c>
      <c r="I125" s="1181"/>
      <c r="J125" s="1181"/>
      <c r="K125" s="1166"/>
      <c r="L125" s="1180"/>
      <c r="M125" s="1164"/>
      <c r="N125" s="961"/>
    </row>
    <row r="126" spans="1:14" ht="11.25">
      <c r="A126" s="960"/>
      <c r="B126" s="1187" t="s">
        <v>775</v>
      </c>
      <c r="C126" s="1191">
        <v>42</v>
      </c>
      <c r="D126" s="1191">
        <v>39</v>
      </c>
      <c r="E126" s="1191">
        <v>38</v>
      </c>
      <c r="F126" s="1191">
        <v>38</v>
      </c>
      <c r="G126" s="1191">
        <v>40</v>
      </c>
      <c r="H126" s="1191">
        <v>39</v>
      </c>
      <c r="I126" s="1181"/>
      <c r="J126" s="1181"/>
      <c r="K126" s="1166"/>
      <c r="L126" s="1180"/>
      <c r="M126" s="1164"/>
      <c r="N126" s="961"/>
    </row>
    <row r="127" spans="1:14" ht="11.25">
      <c r="A127" s="960"/>
      <c r="B127" s="1190"/>
      <c r="C127" s="1190"/>
      <c r="D127" s="1190"/>
      <c r="E127" s="1190"/>
      <c r="F127" s="1190"/>
      <c r="G127" s="1190"/>
      <c r="H127" s="1190"/>
      <c r="I127" s="1166"/>
      <c r="J127" s="1166"/>
      <c r="K127" s="1166"/>
      <c r="L127" s="1166"/>
      <c r="M127" s="1164"/>
      <c r="N127" s="961"/>
    </row>
    <row r="128" spans="1:14">
      <c r="A128" s="960"/>
      <c r="B128" s="1190"/>
      <c r="C128" s="1190"/>
      <c r="D128" s="1190"/>
      <c r="E128" s="1190"/>
      <c r="F128" s="1190"/>
      <c r="G128" s="1190"/>
      <c r="H128" s="1190"/>
      <c r="I128" s="1164"/>
      <c r="J128" s="1164"/>
      <c r="K128" s="1164"/>
      <c r="L128" s="1164"/>
      <c r="M128" s="1164"/>
      <c r="N128" s="961"/>
    </row>
    <row r="129" spans="1:14" ht="11.25">
      <c r="A129" s="960"/>
      <c r="B129" s="1190"/>
      <c r="C129" s="1188" t="s">
        <v>749</v>
      </c>
      <c r="D129" s="1193"/>
      <c r="E129" s="1193"/>
      <c r="F129" s="1193"/>
      <c r="G129" s="1193"/>
      <c r="H129" s="1193"/>
      <c r="I129" s="1164"/>
      <c r="J129" s="1164"/>
      <c r="K129" s="1164"/>
      <c r="L129" s="1164"/>
      <c r="M129" s="1164"/>
      <c r="N129" s="961"/>
    </row>
    <row r="130" spans="1:14" ht="11.25">
      <c r="A130" s="960"/>
      <c r="B130" s="1190"/>
      <c r="C130" s="1189" t="s">
        <v>89</v>
      </c>
      <c r="D130" s="1189"/>
      <c r="E130" s="1189" t="s">
        <v>88</v>
      </c>
      <c r="F130" s="1189"/>
      <c r="G130" s="1189" t="s">
        <v>124</v>
      </c>
      <c r="H130" s="1189"/>
      <c r="I130" s="1164"/>
      <c r="J130" s="1164"/>
      <c r="K130" s="1164"/>
      <c r="L130" s="1164"/>
      <c r="M130" s="1164"/>
      <c r="N130" s="961"/>
    </row>
    <row r="131" spans="1:14" ht="11.25">
      <c r="A131" s="960"/>
      <c r="B131" s="1190"/>
      <c r="C131" s="1186" t="s">
        <v>134</v>
      </c>
      <c r="D131" s="1186" t="s">
        <v>386</v>
      </c>
      <c r="E131" s="1186" t="s">
        <v>134</v>
      </c>
      <c r="F131" s="1186" t="s">
        <v>386</v>
      </c>
      <c r="G131" s="1186" t="s">
        <v>134</v>
      </c>
      <c r="H131" s="1186" t="s">
        <v>386</v>
      </c>
      <c r="I131" s="1164"/>
      <c r="J131" s="1164"/>
      <c r="K131" s="1164"/>
      <c r="L131" s="1164"/>
      <c r="M131" s="1164"/>
      <c r="N131" s="961"/>
    </row>
    <row r="132" spans="1:14" ht="11.25">
      <c r="A132" s="960"/>
      <c r="B132" s="1190"/>
      <c r="C132" s="1191">
        <v>44</v>
      </c>
      <c r="D132" s="1191">
        <v>45</v>
      </c>
      <c r="E132" s="1191">
        <v>45</v>
      </c>
      <c r="F132" s="1191">
        <v>46</v>
      </c>
      <c r="G132" s="1191">
        <v>44</v>
      </c>
      <c r="H132" s="1191">
        <v>45</v>
      </c>
      <c r="I132" s="1164"/>
      <c r="J132" s="1164"/>
      <c r="K132" s="1164"/>
      <c r="L132" s="1164"/>
      <c r="M132" s="1164"/>
      <c r="N132" s="961"/>
    </row>
    <row r="133" spans="1:14" ht="11.25">
      <c r="A133" s="960"/>
      <c r="B133" s="1187" t="s">
        <v>60</v>
      </c>
      <c r="C133" s="1191">
        <v>47</v>
      </c>
      <c r="D133" s="1191">
        <v>47</v>
      </c>
      <c r="E133" s="1191">
        <v>48</v>
      </c>
      <c r="F133" s="1191">
        <v>49</v>
      </c>
      <c r="G133" s="1191">
        <v>48</v>
      </c>
      <c r="H133" s="1191">
        <v>48</v>
      </c>
      <c r="I133" s="1164"/>
      <c r="J133" s="1164"/>
      <c r="K133" s="1164"/>
      <c r="L133" s="1164"/>
      <c r="M133" s="1164"/>
      <c r="N133" s="961"/>
    </row>
    <row r="134" spans="1:14" ht="11.25">
      <c r="A134" s="960"/>
      <c r="B134" s="1187" t="s">
        <v>61</v>
      </c>
      <c r="C134" s="1191">
        <v>44</v>
      </c>
      <c r="D134" s="1191">
        <v>46</v>
      </c>
      <c r="E134" s="1191">
        <v>43</v>
      </c>
      <c r="F134" s="1191">
        <v>47</v>
      </c>
      <c r="G134" s="1191">
        <v>44</v>
      </c>
      <c r="H134" s="1191">
        <v>46</v>
      </c>
      <c r="I134" s="1164"/>
      <c r="J134" s="1164"/>
      <c r="K134" s="1164"/>
      <c r="L134" s="1164"/>
      <c r="M134" s="1164"/>
      <c r="N134" s="961"/>
    </row>
    <row r="135" spans="1:14" ht="11.25">
      <c r="A135" s="960"/>
      <c r="B135" s="1187" t="s">
        <v>62</v>
      </c>
      <c r="C135" s="1191">
        <v>46</v>
      </c>
      <c r="D135" s="1191">
        <v>47</v>
      </c>
      <c r="E135" s="1191">
        <v>46</v>
      </c>
      <c r="F135" s="1191">
        <v>47</v>
      </c>
      <c r="G135" s="1191">
        <v>46</v>
      </c>
      <c r="H135" s="1191">
        <v>47</v>
      </c>
      <c r="I135" s="1164"/>
      <c r="J135" s="1164"/>
      <c r="K135" s="1164"/>
      <c r="L135" s="1164"/>
      <c r="M135" s="1164"/>
      <c r="N135" s="961"/>
    </row>
    <row r="136" spans="1:14">
      <c r="A136" s="960"/>
      <c r="B136" s="1164"/>
      <c r="C136" s="1164"/>
      <c r="D136" s="1164"/>
      <c r="E136" s="1164"/>
      <c r="F136" s="1164"/>
      <c r="G136" s="1164"/>
      <c r="H136" s="1164"/>
      <c r="I136" s="1164"/>
      <c r="J136" s="1164"/>
      <c r="K136" s="1164"/>
      <c r="L136" s="1164"/>
      <c r="M136" s="1164"/>
      <c r="N136" s="961"/>
    </row>
    <row r="137" spans="1:14">
      <c r="A137" s="960"/>
      <c r="B137" s="1185"/>
      <c r="C137" s="1185"/>
      <c r="D137" s="1185"/>
      <c r="E137" s="1185"/>
      <c r="F137" s="1185"/>
      <c r="G137" s="1185"/>
      <c r="H137" s="1185"/>
      <c r="I137" s="1164"/>
      <c r="J137" s="1164"/>
      <c r="K137" s="1164"/>
      <c r="L137" s="1164"/>
      <c r="M137" s="1164"/>
      <c r="N137" s="961"/>
    </row>
    <row r="138" spans="1:14">
      <c r="A138" s="984"/>
      <c r="I138" s="1185"/>
      <c r="J138" s="1185"/>
      <c r="K138" s="1185"/>
      <c r="L138" s="1185"/>
      <c r="M138" s="1185"/>
      <c r="N138" s="986"/>
    </row>
  </sheetData>
  <mergeCells count="12">
    <mergeCell ref="J115:L115"/>
    <mergeCell ref="L106:M106"/>
    <mergeCell ref="L98:M98"/>
    <mergeCell ref="L102:M102"/>
    <mergeCell ref="L6:M6"/>
    <mergeCell ref="L10:M10"/>
    <mergeCell ref="L14:M14"/>
    <mergeCell ref="J22:L22"/>
    <mergeCell ref="J68:L68"/>
    <mergeCell ref="L60:M60"/>
    <mergeCell ref="L52:M52"/>
    <mergeCell ref="L56:M56"/>
  </mergeCells>
  <pageMargins left="0.7" right="0.7" top="0.20833333333333334" bottom="0.32291666666666669"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S49"/>
  <sheetViews>
    <sheetView showGridLines="0" zoomScaleNormal="100" zoomScaleSheetLayoutView="120" workbookViewId="0">
      <selection activeCell="O40" sqref="O40"/>
    </sheetView>
  </sheetViews>
  <sheetFormatPr baseColWidth="10" defaultColWidth="12" defaultRowHeight="10.5"/>
  <cols>
    <col min="1" max="14" width="12.33203125" style="12" customWidth="1"/>
    <col min="15" max="15" width="9.6640625" style="12" customWidth="1"/>
    <col min="16" max="16" width="26.6640625" style="12" customWidth="1"/>
    <col min="17" max="17" width="7.5" style="12" customWidth="1"/>
    <col min="18" max="16384" width="12" style="12"/>
  </cols>
  <sheetData>
    <row r="1" spans="1:19" ht="19.5" customHeight="1">
      <c r="A1" s="228" t="s">
        <v>332</v>
      </c>
      <c r="B1" s="132"/>
      <c r="C1" s="132"/>
      <c r="D1" s="132"/>
      <c r="E1" s="132"/>
      <c r="F1" s="132"/>
      <c r="G1" s="132"/>
      <c r="H1" s="132"/>
      <c r="I1" s="132"/>
      <c r="J1" s="132"/>
      <c r="K1" s="132"/>
      <c r="L1" s="132"/>
      <c r="M1" s="132"/>
      <c r="N1" s="132"/>
      <c r="O1" s="132"/>
      <c r="P1" s="32"/>
      <c r="Q1" s="32"/>
      <c r="R1" s="32"/>
      <c r="S1" s="32"/>
    </row>
    <row r="2" spans="1:19" ht="11.25">
      <c r="A2" s="9"/>
      <c r="B2" s="9"/>
      <c r="C2" s="9"/>
      <c r="D2" s="9"/>
      <c r="E2" s="9"/>
      <c r="F2" s="9"/>
      <c r="G2" s="9"/>
      <c r="H2" s="9"/>
      <c r="I2" s="9"/>
      <c r="J2" s="9"/>
      <c r="K2" s="15"/>
      <c r="L2" s="15"/>
      <c r="M2" s="15"/>
      <c r="N2" s="15"/>
      <c r="O2" s="15"/>
      <c r="P2" s="15"/>
      <c r="Q2" s="15"/>
      <c r="R2" s="15"/>
    </row>
    <row r="3" spans="1:19" ht="11.25">
      <c r="A3" s="26" t="s">
        <v>1076</v>
      </c>
      <c r="B3" s="9"/>
      <c r="C3" s="9"/>
      <c r="D3" s="9"/>
      <c r="E3" s="9"/>
      <c r="F3" s="9"/>
      <c r="G3" s="9"/>
      <c r="H3" s="9"/>
      <c r="I3" s="9"/>
      <c r="J3" s="9"/>
      <c r="K3" s="15"/>
      <c r="L3" s="15"/>
      <c r="M3" s="15"/>
      <c r="N3" s="15"/>
      <c r="O3" s="15"/>
      <c r="P3" s="15"/>
      <c r="Q3" s="15"/>
      <c r="R3" s="15"/>
    </row>
    <row r="4" spans="1:19" ht="11.25">
      <c r="A4" s="26"/>
      <c r="B4" s="9"/>
      <c r="C4" s="9"/>
      <c r="D4" s="9"/>
      <c r="E4" s="9"/>
      <c r="F4" s="9"/>
      <c r="G4" s="9"/>
      <c r="H4" s="9"/>
      <c r="I4" s="280"/>
      <c r="J4" s="280"/>
      <c r="K4" s="280"/>
      <c r="L4" s="280"/>
      <c r="M4" s="280"/>
      <c r="N4" s="280"/>
      <c r="O4" s="280"/>
      <c r="P4" s="280"/>
      <c r="Q4" s="280"/>
      <c r="R4" s="280"/>
    </row>
    <row r="5" spans="1:19" ht="11.25">
      <c r="A5" s="26"/>
      <c r="B5" s="9"/>
      <c r="C5" s="9"/>
      <c r="D5" s="9"/>
      <c r="E5" s="9"/>
      <c r="F5" s="9"/>
      <c r="G5" s="9"/>
      <c r="H5" s="9"/>
      <c r="I5" s="371"/>
      <c r="J5" s="280"/>
      <c r="K5" s="280"/>
      <c r="L5" s="280"/>
      <c r="M5" s="280"/>
      <c r="N5" s="280"/>
      <c r="O5" s="280"/>
      <c r="P5" s="280"/>
      <c r="Q5" s="280"/>
      <c r="R5" s="280"/>
    </row>
    <row r="6" spans="1:19" ht="11.25">
      <c r="A6" s="26"/>
      <c r="B6" s="9"/>
      <c r="C6" s="9"/>
      <c r="D6" s="9"/>
      <c r="E6" s="9"/>
      <c r="F6" s="9"/>
      <c r="G6" s="9"/>
      <c r="H6" s="9"/>
      <c r="I6" s="9"/>
      <c r="J6" s="9"/>
      <c r="K6" s="280"/>
      <c r="L6" s="280"/>
      <c r="M6" s="280"/>
      <c r="N6" s="280"/>
      <c r="O6" s="280"/>
      <c r="P6" s="280"/>
      <c r="Q6" s="280"/>
      <c r="R6" s="280"/>
    </row>
    <row r="7" spans="1:19" ht="11.25">
      <c r="A7" s="26"/>
      <c r="B7" s="9"/>
      <c r="C7" s="9"/>
      <c r="D7" s="9"/>
      <c r="E7" s="9"/>
      <c r="F7" s="9"/>
      <c r="G7" s="9"/>
      <c r="H7" s="9"/>
      <c r="I7" s="9"/>
      <c r="J7" s="9"/>
      <c r="K7" s="281"/>
      <c r="L7" s="281"/>
      <c r="M7" s="281"/>
      <c r="N7" s="281"/>
      <c r="O7" s="281"/>
      <c r="P7" s="281"/>
      <c r="Q7" s="281"/>
      <c r="R7" s="281"/>
    </row>
    <row r="8" spans="1:19" ht="11.25">
      <c r="A8" s="26"/>
      <c r="B8" s="9"/>
      <c r="C8" s="9"/>
      <c r="D8" s="9"/>
      <c r="E8" s="9"/>
      <c r="F8" s="9"/>
      <c r="G8" s="9"/>
      <c r="H8" s="9"/>
      <c r="I8" s="9"/>
      <c r="J8" s="9"/>
      <c r="K8" s="281"/>
      <c r="L8" s="281"/>
      <c r="M8" s="281"/>
      <c r="N8" s="281"/>
      <c r="O8" s="281"/>
      <c r="P8" s="281"/>
      <c r="Q8" s="281"/>
      <c r="R8" s="281"/>
    </row>
    <row r="9" spans="1:19" ht="12.75">
      <c r="A9" s="26"/>
      <c r="B9" s="314"/>
      <c r="C9" s="9"/>
      <c r="D9" s="9"/>
      <c r="E9" s="9"/>
      <c r="F9" s="9"/>
      <c r="G9" s="9"/>
      <c r="H9" s="9"/>
      <c r="I9" s="9"/>
      <c r="J9" s="9"/>
      <c r="K9" s="281"/>
      <c r="L9" s="281"/>
      <c r="M9" s="281"/>
      <c r="N9" s="281"/>
      <c r="O9" s="281"/>
      <c r="P9" s="281"/>
      <c r="Q9" s="281"/>
      <c r="R9" s="281"/>
    </row>
    <row r="10" spans="1:19" ht="11.25">
      <c r="A10" s="26"/>
      <c r="B10" s="9"/>
      <c r="C10" s="9"/>
      <c r="D10" s="9"/>
      <c r="E10" s="9"/>
      <c r="F10" s="9"/>
      <c r="G10" s="9"/>
      <c r="H10" s="9"/>
      <c r="I10" s="9"/>
      <c r="J10" s="9"/>
      <c r="K10" s="281"/>
      <c r="L10" s="281"/>
      <c r="M10" s="281"/>
      <c r="N10" s="281"/>
      <c r="O10" s="281"/>
      <c r="P10" s="281"/>
      <c r="Q10" s="281"/>
      <c r="R10" s="281"/>
    </row>
    <row r="11" spans="1:19" ht="11.25">
      <c r="A11" s="26"/>
      <c r="B11" s="9"/>
      <c r="C11" s="9"/>
      <c r="D11" s="9"/>
      <c r="E11" s="9"/>
      <c r="F11" s="9"/>
      <c r="G11" s="9"/>
      <c r="H11" s="9"/>
      <c r="I11" s="9"/>
      <c r="J11" s="9"/>
      <c r="K11" s="280"/>
      <c r="L11" s="280"/>
      <c r="M11" s="280"/>
      <c r="N11" s="280"/>
      <c r="O11" s="280"/>
      <c r="P11" s="280"/>
      <c r="Q11" s="280"/>
      <c r="R11" s="280"/>
    </row>
    <row r="12" spans="1:19" ht="11.25">
      <c r="A12" s="26"/>
      <c r="B12" s="9"/>
      <c r="C12" s="9"/>
      <c r="D12" s="9"/>
      <c r="E12" s="9"/>
      <c r="F12" s="9"/>
      <c r="G12" s="9"/>
      <c r="H12" s="9"/>
      <c r="I12" s="9"/>
      <c r="J12" s="9"/>
      <c r="K12" s="280"/>
      <c r="L12" s="280"/>
      <c r="M12" s="280"/>
      <c r="N12" s="280"/>
      <c r="O12" s="280"/>
      <c r="P12" s="280"/>
      <c r="Q12" s="280"/>
      <c r="R12" s="280"/>
    </row>
    <row r="13" spans="1:19" ht="11.25">
      <c r="A13" s="26"/>
      <c r="B13" s="9"/>
      <c r="C13" s="9"/>
      <c r="D13" s="9"/>
      <c r="E13" s="9"/>
      <c r="F13" s="9"/>
      <c r="G13" s="9"/>
      <c r="H13" s="9"/>
      <c r="I13" s="9"/>
      <c r="J13" s="9"/>
      <c r="K13" s="15"/>
      <c r="L13" s="15"/>
      <c r="M13" s="15"/>
      <c r="N13" s="15"/>
      <c r="O13" s="15"/>
      <c r="P13" s="15"/>
      <c r="Q13" s="15"/>
      <c r="R13" s="15"/>
    </row>
    <row r="14" spans="1:19" ht="11.25">
      <c r="A14" s="9"/>
      <c r="B14" s="9"/>
      <c r="C14" s="321"/>
      <c r="D14" s="321" t="s">
        <v>123</v>
      </c>
      <c r="E14" s="322" t="s">
        <v>312</v>
      </c>
      <c r="F14" s="322" t="s">
        <v>313</v>
      </c>
      <c r="G14" s="9"/>
      <c r="H14" s="9"/>
      <c r="I14" s="9"/>
      <c r="J14" s="9"/>
      <c r="K14" s="11"/>
      <c r="L14" s="15"/>
      <c r="M14" s="15"/>
      <c r="N14" s="15"/>
      <c r="O14" s="11"/>
      <c r="P14" s="11"/>
      <c r="Q14" s="11"/>
      <c r="R14" s="11"/>
    </row>
    <row r="15" spans="1:19" ht="12.75">
      <c r="A15" s="243"/>
      <c r="B15" s="320"/>
      <c r="C15" s="321">
        <v>2022</v>
      </c>
      <c r="D15" s="322">
        <v>21</v>
      </c>
      <c r="E15" s="322">
        <v>20</v>
      </c>
      <c r="F15" s="322">
        <f t="shared" ref="F15:F18" si="0">D15+E15</f>
        <v>41</v>
      </c>
      <c r="G15" s="320"/>
      <c r="H15" s="148"/>
      <c r="I15" s="320"/>
      <c r="J15" s="320"/>
      <c r="K15" s="320"/>
      <c r="L15" s="320"/>
      <c r="M15" s="320"/>
      <c r="N15" s="142"/>
    </row>
    <row r="16" spans="1:19">
      <c r="C16" s="321">
        <v>2023</v>
      </c>
      <c r="D16" s="322">
        <v>20</v>
      </c>
      <c r="E16" s="322">
        <v>12</v>
      </c>
      <c r="F16" s="322">
        <f t="shared" si="0"/>
        <v>32</v>
      </c>
    </row>
    <row r="17" spans="1:13">
      <c r="C17" s="321">
        <v>2024</v>
      </c>
      <c r="D17" s="322">
        <v>27</v>
      </c>
      <c r="E17" s="322">
        <v>18</v>
      </c>
      <c r="F17" s="322">
        <f t="shared" si="0"/>
        <v>45</v>
      </c>
    </row>
    <row r="18" spans="1:13" s="13" customFormat="1">
      <c r="A18" s="16"/>
      <c r="C18" s="321">
        <v>2025</v>
      </c>
      <c r="D18" s="322">
        <v>22</v>
      </c>
      <c r="E18" s="322">
        <v>18</v>
      </c>
      <c r="F18" s="322">
        <f t="shared" si="0"/>
        <v>40</v>
      </c>
    </row>
    <row r="19" spans="1:13" s="13" customFormat="1">
      <c r="A19" s="16"/>
      <c r="C19" s="321">
        <v>2026</v>
      </c>
      <c r="D19" s="322">
        <v>13</v>
      </c>
      <c r="E19" s="322">
        <v>16</v>
      </c>
      <c r="F19" s="322">
        <f t="shared" ref="F19" si="1">D19+E19</f>
        <v>29</v>
      </c>
    </row>
    <row r="20" spans="1:13" s="13" customFormat="1">
      <c r="A20" s="16"/>
      <c r="D20" s="322">
        <f>SUM(D15:D19)</f>
        <v>103</v>
      </c>
      <c r="E20" s="322">
        <f>SUM(E15:E19)</f>
        <v>84</v>
      </c>
      <c r="F20" s="322">
        <f>SUM(F15:F19)</f>
        <v>187</v>
      </c>
      <c r="J20" s="327"/>
      <c r="K20" s="327"/>
      <c r="L20" s="327"/>
      <c r="M20" s="327"/>
    </row>
    <row r="21" spans="1:13" s="13" customFormat="1">
      <c r="A21" s="16"/>
      <c r="J21" s="185"/>
      <c r="K21" s="185"/>
      <c r="L21" s="185"/>
      <c r="M21" s="185"/>
    </row>
    <row r="22" spans="1:13" s="13" customFormat="1">
      <c r="A22" s="16"/>
      <c r="J22" s="185"/>
      <c r="K22" s="185"/>
      <c r="L22" s="185"/>
      <c r="M22" s="185"/>
    </row>
    <row r="23" spans="1:13" s="13" customFormat="1">
      <c r="A23" s="16"/>
      <c r="J23" s="185"/>
      <c r="K23" s="185"/>
      <c r="L23" s="185"/>
      <c r="M23" s="185"/>
    </row>
    <row r="24" spans="1:13" s="13" customFormat="1">
      <c r="A24" s="16"/>
      <c r="F24" s="146"/>
      <c r="J24" s="185"/>
      <c r="K24" s="185"/>
      <c r="L24" s="185"/>
      <c r="M24" s="185"/>
    </row>
    <row r="25" spans="1:13" s="13" customFormat="1">
      <c r="A25" s="16"/>
      <c r="J25" s="185"/>
      <c r="K25" s="185"/>
      <c r="L25" s="185"/>
      <c r="M25" s="185"/>
    </row>
    <row r="26" spans="1:13">
      <c r="H26" s="13"/>
      <c r="I26" s="13"/>
      <c r="J26" s="21"/>
      <c r="K26" s="21"/>
      <c r="L26" s="21"/>
      <c r="M26" s="21"/>
    </row>
    <row r="27" spans="1:13">
      <c r="A27" s="13"/>
    </row>
    <row r="28" spans="1:13" ht="12.75">
      <c r="B28" s="314"/>
      <c r="D28" s="21"/>
      <c r="E28" s="21"/>
      <c r="I28"/>
      <c r="J28"/>
    </row>
    <row r="29" spans="1:13">
      <c r="I29"/>
      <c r="J29"/>
      <c r="K29"/>
      <c r="L29"/>
    </row>
    <row r="30" spans="1:13">
      <c r="I30"/>
      <c r="J30"/>
      <c r="K30"/>
      <c r="L30"/>
    </row>
    <row r="31" spans="1:13" s="13" customFormat="1">
      <c r="I31"/>
      <c r="J31"/>
      <c r="K31"/>
      <c r="L31"/>
    </row>
    <row r="32" spans="1:13" s="13" customFormat="1">
      <c r="K32"/>
      <c r="L32"/>
    </row>
    <row r="33" spans="1:15" s="13" customFormat="1">
      <c r="K33"/>
      <c r="L33"/>
    </row>
    <row r="34" spans="1:15" s="13" customFormat="1"/>
    <row r="35" spans="1:15" s="13" customFormat="1">
      <c r="C35" s="325"/>
      <c r="D35" s="325" t="s">
        <v>123</v>
      </c>
      <c r="E35" s="326" t="s">
        <v>440</v>
      </c>
      <c r="F35" s="324" t="s">
        <v>313</v>
      </c>
    </row>
    <row r="36" spans="1:15" s="13" customFormat="1">
      <c r="C36" s="267">
        <v>2022</v>
      </c>
      <c r="D36" s="324">
        <v>13</v>
      </c>
      <c r="E36" s="324">
        <v>2</v>
      </c>
      <c r="F36" s="324">
        <v>15</v>
      </c>
    </row>
    <row r="37" spans="1:15" s="13" customFormat="1">
      <c r="A37" s="16"/>
      <c r="C37" s="267">
        <v>2023</v>
      </c>
      <c r="D37" s="324">
        <v>8</v>
      </c>
      <c r="E37" s="324">
        <v>5</v>
      </c>
      <c r="F37" s="324">
        <v>13</v>
      </c>
    </row>
    <row r="38" spans="1:15" s="13" customFormat="1" ht="10.5" customHeight="1">
      <c r="A38" s="148"/>
      <c r="B38" s="148"/>
      <c r="C38" s="267">
        <v>2024</v>
      </c>
      <c r="D38" s="324">
        <v>8</v>
      </c>
      <c r="E38" s="324">
        <v>4</v>
      </c>
      <c r="F38" s="324">
        <v>12</v>
      </c>
      <c r="G38" s="323"/>
      <c r="H38" s="323"/>
      <c r="I38" s="323"/>
      <c r="J38" s="323"/>
      <c r="K38"/>
      <c r="L38"/>
      <c r="M38" s="148"/>
      <c r="N38" s="148"/>
      <c r="O38" s="148"/>
    </row>
    <row r="39" spans="1:15">
      <c r="C39" s="267">
        <v>2025</v>
      </c>
      <c r="D39" s="324">
        <v>12</v>
      </c>
      <c r="E39" s="324">
        <v>1</v>
      </c>
      <c r="F39" s="324">
        <v>13</v>
      </c>
      <c r="K39"/>
      <c r="L39"/>
    </row>
    <row r="40" spans="1:15">
      <c r="C40" s="267">
        <v>2026</v>
      </c>
      <c r="D40" s="324">
        <v>11</v>
      </c>
      <c r="E40" s="324">
        <v>6</v>
      </c>
      <c r="F40" s="324">
        <f t="shared" ref="F40" si="2">SUM(D40:E40)</f>
        <v>17</v>
      </c>
      <c r="G40" s="288"/>
      <c r="K40"/>
    </row>
    <row r="41" spans="1:15">
      <c r="B41" s="287"/>
      <c r="C41" s="267"/>
      <c r="D41" s="324">
        <f>SUM(D36:D40)</f>
        <v>52</v>
      </c>
      <c r="E41" s="324">
        <f>SUM(E36:E40)</f>
        <v>18</v>
      </c>
      <c r="F41" s="324">
        <f>SUM(F36:F40)</f>
        <v>70</v>
      </c>
      <c r="G41" s="288"/>
      <c r="K41"/>
    </row>
    <row r="42" spans="1:15">
      <c r="B42" s="287"/>
      <c r="E42" s="17"/>
      <c r="F42" s="286"/>
      <c r="G42" s="288"/>
    </row>
    <row r="43" spans="1:15" ht="18.75" customHeight="1">
      <c r="A43" s="19"/>
      <c r="F43" s="17"/>
      <c r="G43" s="17"/>
      <c r="H43" s="13"/>
      <c r="I43" s="146"/>
      <c r="K43" s="101"/>
      <c r="L43" s="101"/>
      <c r="M43" s="101"/>
      <c r="N43" s="101"/>
    </row>
    <row r="44" spans="1:15" ht="18.600000000000001" customHeight="1">
      <c r="A44" s="19"/>
      <c r="F44" s="149"/>
      <c r="G44" s="150"/>
      <c r="H44" s="147"/>
      <c r="I44" s="151"/>
    </row>
    <row r="45" spans="1:15" s="21" customFormat="1">
      <c r="A45" s="16"/>
      <c r="F45" s="17"/>
      <c r="G45" s="17"/>
    </row>
    <row r="46" spans="1:15">
      <c r="C46" s="185"/>
      <c r="D46" s="21"/>
      <c r="E46" s="21"/>
    </row>
    <row r="47" spans="1:15" ht="15">
      <c r="A47" s="249"/>
      <c r="C47" s="185"/>
      <c r="D47" s="21"/>
      <c r="E47" s="21"/>
    </row>
    <row r="48" spans="1:15" ht="15">
      <c r="A48" s="249"/>
      <c r="C48" s="185"/>
      <c r="D48" s="21"/>
      <c r="E48" s="21"/>
    </row>
    <row r="49" spans="1:3" ht="15">
      <c r="A49" s="249"/>
      <c r="C49"/>
    </row>
  </sheetData>
  <pageMargins left="0.11811023622047245" right="0.11811023622047245" top="0.35433070866141736" bottom="0.35433070866141736" header="0.31496062992125984" footer="0.31496062992125984"/>
  <pageSetup paperSize="9" firstPageNumber="0" orientation="landscape" r:id="rId1"/>
  <ignoredErrors>
    <ignoredError sqref="F40" formulaRange="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Y93"/>
  <sheetViews>
    <sheetView showGridLines="0" zoomScaleNormal="100" zoomScaleSheetLayoutView="100" workbookViewId="0">
      <selection activeCell="U28" sqref="U28"/>
    </sheetView>
  </sheetViews>
  <sheetFormatPr baseColWidth="10" defaultRowHeight="10.5"/>
  <cols>
    <col min="1" max="1" width="9.6640625" customWidth="1"/>
    <col min="2" max="2" width="21.33203125" style="1161" customWidth="1"/>
    <col min="3" max="4" width="12" customWidth="1"/>
    <col min="5" max="5" width="10.33203125" customWidth="1"/>
    <col min="6" max="6" width="9.6640625" customWidth="1"/>
    <col min="9" max="9" width="8.6640625" customWidth="1"/>
    <col min="10" max="10" width="9.5" customWidth="1"/>
    <col min="11" max="11" width="11" customWidth="1"/>
    <col min="12" max="12" width="10.5" customWidth="1"/>
    <col min="13" max="13" width="8.6640625" customWidth="1"/>
    <col min="14" max="14" width="11.5" customWidth="1"/>
    <col min="15" max="15" width="10.33203125" customWidth="1"/>
    <col min="16" max="16" width="10.6640625" customWidth="1"/>
    <col min="17" max="17" width="29.33203125" customWidth="1"/>
    <col min="18" max="18" width="5.6640625" customWidth="1"/>
  </cols>
  <sheetData>
    <row r="1" spans="1:15" ht="23.25" customHeight="1">
      <c r="A1" s="179" t="s">
        <v>1148</v>
      </c>
      <c r="B1" s="179"/>
      <c r="C1" s="185"/>
      <c r="D1" s="185"/>
      <c r="E1" s="185"/>
      <c r="F1" s="185"/>
      <c r="G1" s="185"/>
      <c r="H1" s="185"/>
      <c r="I1" s="185"/>
      <c r="J1" s="185"/>
      <c r="K1" s="185"/>
      <c r="L1" s="185"/>
      <c r="M1" s="185"/>
      <c r="N1" s="185"/>
      <c r="O1" s="185"/>
    </row>
    <row r="2" spans="1:15" ht="11.25" customHeight="1">
      <c r="A2" s="179"/>
      <c r="B2" s="179"/>
      <c r="C2" s="185"/>
      <c r="D2" s="185"/>
      <c r="E2" s="185"/>
      <c r="F2" s="185"/>
      <c r="G2" s="185"/>
      <c r="H2" s="185"/>
      <c r="I2" s="185"/>
      <c r="J2" s="185"/>
      <c r="K2" s="185"/>
      <c r="L2" s="185"/>
      <c r="M2" s="185"/>
      <c r="N2" s="185"/>
      <c r="O2" s="185"/>
    </row>
    <row r="3" spans="1:15" ht="11.25" customHeight="1">
      <c r="A3" s="26" t="s">
        <v>825</v>
      </c>
      <c r="B3" s="26"/>
      <c r="C3" s="185"/>
      <c r="D3" s="185"/>
      <c r="E3" s="185"/>
      <c r="F3" s="185"/>
      <c r="G3" s="185"/>
      <c r="H3" s="185"/>
      <c r="I3" s="185"/>
      <c r="J3" s="185"/>
      <c r="K3" s="185"/>
      <c r="L3" s="185"/>
      <c r="M3" s="185"/>
      <c r="N3" s="185"/>
      <c r="O3" s="185"/>
    </row>
    <row r="4" spans="1:15" ht="11.25" customHeight="1">
      <c r="A4" s="179"/>
      <c r="B4" s="179"/>
      <c r="C4" s="185"/>
      <c r="D4" s="185"/>
      <c r="E4" s="185"/>
      <c r="F4" s="185"/>
      <c r="G4" s="185"/>
      <c r="H4" s="185"/>
      <c r="I4" s="185"/>
      <c r="J4" s="185"/>
      <c r="K4" s="185"/>
      <c r="L4" s="185"/>
      <c r="M4" s="185"/>
      <c r="N4" s="185"/>
      <c r="O4" s="185"/>
    </row>
    <row r="5" spans="1:15" ht="11.25" customHeight="1">
      <c r="A5" s="179"/>
      <c r="B5" s="179"/>
      <c r="C5" s="185"/>
      <c r="D5" s="185"/>
      <c r="E5" s="185"/>
      <c r="F5" s="185"/>
      <c r="G5" s="185"/>
      <c r="H5" s="185"/>
      <c r="I5" s="185"/>
      <c r="J5" s="185"/>
      <c r="K5" s="185"/>
      <c r="L5" s="185"/>
      <c r="M5" s="185"/>
      <c r="N5" s="185"/>
      <c r="O5" s="185"/>
    </row>
    <row r="6" spans="1:15" ht="11.25" customHeight="1">
      <c r="A6" s="179"/>
      <c r="B6" s="179"/>
      <c r="C6" s="185"/>
      <c r="D6" s="185"/>
      <c r="E6" s="185"/>
      <c r="F6" s="185"/>
      <c r="G6" s="185"/>
      <c r="H6" s="185"/>
      <c r="I6" s="185"/>
      <c r="J6" s="185"/>
      <c r="K6" s="185"/>
      <c r="L6" s="185"/>
      <c r="M6" s="185"/>
      <c r="N6" s="185"/>
      <c r="O6" s="185"/>
    </row>
    <row r="7" spans="1:15" ht="11.25" customHeight="1">
      <c r="A7" s="179"/>
      <c r="B7" s="179"/>
      <c r="C7" s="185"/>
      <c r="D7" s="185"/>
      <c r="E7" s="185"/>
      <c r="F7" s="185"/>
      <c r="G7" s="185"/>
      <c r="H7" s="185"/>
      <c r="I7" s="185"/>
      <c r="J7" s="185"/>
      <c r="K7" s="185"/>
      <c r="L7" s="185"/>
      <c r="M7" s="185"/>
      <c r="N7" s="185"/>
      <c r="O7" s="185"/>
    </row>
    <row r="8" spans="1:15" ht="11.25" customHeight="1">
      <c r="A8" s="179"/>
      <c r="B8" s="179"/>
      <c r="C8" s="185"/>
      <c r="D8" s="185"/>
      <c r="E8" s="185"/>
      <c r="F8" s="185"/>
      <c r="G8" s="185"/>
      <c r="H8" s="185"/>
      <c r="I8" s="185"/>
      <c r="J8" s="185"/>
      <c r="K8" s="185"/>
      <c r="L8" s="185"/>
      <c r="M8" s="185"/>
      <c r="N8" s="185"/>
      <c r="O8" s="185"/>
    </row>
    <row r="9" spans="1:15" ht="11.25" customHeight="1">
      <c r="A9" s="179"/>
      <c r="B9" s="179"/>
      <c r="C9" s="185"/>
      <c r="D9" s="185"/>
      <c r="E9" s="185"/>
      <c r="F9" s="185"/>
      <c r="G9" s="185"/>
      <c r="H9" s="185"/>
      <c r="I9" s="185"/>
      <c r="J9" s="185"/>
      <c r="K9" s="185"/>
      <c r="L9" s="185"/>
      <c r="M9" s="185"/>
      <c r="N9" s="185"/>
      <c r="O9" s="185"/>
    </row>
    <row r="10" spans="1:15" ht="11.25" customHeight="1">
      <c r="A10" s="179"/>
      <c r="B10" s="179"/>
      <c r="C10" s="185"/>
      <c r="D10" s="185"/>
      <c r="E10" s="185"/>
      <c r="F10" s="185"/>
      <c r="G10" s="185"/>
      <c r="H10" s="185"/>
      <c r="I10" s="185"/>
      <c r="J10" s="185"/>
      <c r="K10" s="185"/>
      <c r="L10" s="185"/>
      <c r="M10" s="185"/>
      <c r="N10" s="185"/>
      <c r="O10" s="185"/>
    </row>
    <row r="11" spans="1:15" ht="11.25" customHeight="1">
      <c r="A11" s="179"/>
      <c r="B11" s="179"/>
      <c r="C11" s="185"/>
      <c r="D11" s="185"/>
      <c r="E11" s="185"/>
      <c r="F11" s="185"/>
      <c r="G11" s="185"/>
      <c r="H11" s="185"/>
      <c r="I11" s="185"/>
      <c r="J11" s="185"/>
      <c r="K11" s="185"/>
      <c r="L11" s="185"/>
      <c r="M11" s="185"/>
      <c r="N11" s="185"/>
      <c r="O11" s="185"/>
    </row>
    <row r="12" spans="1:15" ht="11.25" customHeight="1">
      <c r="A12" s="179"/>
      <c r="B12" s="179"/>
      <c r="C12" s="185"/>
      <c r="D12" s="185"/>
      <c r="E12" s="185"/>
      <c r="F12" s="185"/>
      <c r="G12" s="185"/>
      <c r="H12" s="185"/>
      <c r="I12" s="185"/>
      <c r="J12" s="185"/>
      <c r="K12" s="185"/>
      <c r="L12" s="185"/>
      <c r="M12" s="185"/>
      <c r="N12" s="185"/>
      <c r="O12" s="185"/>
    </row>
    <row r="13" spans="1:15" ht="10.5" customHeight="1"/>
    <row r="14" spans="1:15" ht="11.25">
      <c r="A14" s="26"/>
      <c r="B14" s="26"/>
    </row>
    <row r="15" spans="1:15" ht="16.5" customHeight="1">
      <c r="A15" s="228" t="s">
        <v>548</v>
      </c>
      <c r="B15" s="1165"/>
    </row>
    <row r="16" spans="1:15" ht="10.5" customHeight="1">
      <c r="A16" s="244"/>
      <c r="B16" s="244"/>
    </row>
    <row r="17" spans="1:21" ht="18.75" customHeight="1">
      <c r="A17" s="26"/>
      <c r="B17" s="26"/>
      <c r="C17" s="1628" t="s">
        <v>406</v>
      </c>
      <c r="D17" s="1628"/>
      <c r="E17" s="1628"/>
      <c r="G17" s="1628" t="s">
        <v>123</v>
      </c>
      <c r="H17" s="1628"/>
      <c r="I17" s="1628"/>
      <c r="K17" s="1628" t="s">
        <v>312</v>
      </c>
      <c r="L17" s="1628"/>
      <c r="M17" s="1628"/>
    </row>
    <row r="18" spans="1:21" ht="10.5" customHeight="1">
      <c r="A18" s="26"/>
      <c r="B18" s="26"/>
      <c r="C18" s="153"/>
      <c r="D18" s="152"/>
      <c r="E18" s="152"/>
    </row>
    <row r="19" spans="1:21" ht="10.5" customHeight="1">
      <c r="A19" s="26"/>
      <c r="B19" s="26"/>
      <c r="D19" s="152"/>
      <c r="E19" s="152"/>
    </row>
    <row r="20" spans="1:21" ht="10.5" customHeight="1">
      <c r="A20" s="26"/>
      <c r="B20" s="26"/>
    </row>
    <row r="21" spans="1:21" s="1161" customFormat="1" ht="27.75" customHeight="1">
      <c r="A21" s="1161" t="s">
        <v>966</v>
      </c>
      <c r="B21" s="26"/>
      <c r="C21" s="1325">
        <v>0.5</v>
      </c>
      <c r="D21" s="1310"/>
      <c r="E21" s="1326">
        <v>0.5</v>
      </c>
      <c r="G21" s="1327">
        <v>0.63</v>
      </c>
      <c r="H21" s="284"/>
      <c r="I21" s="1326">
        <v>0.37</v>
      </c>
      <c r="J21" s="284"/>
      <c r="K21" s="1325">
        <v>0.3</v>
      </c>
      <c r="M21" s="1326">
        <v>0.7</v>
      </c>
    </row>
    <row r="22" spans="1:21" ht="10.5" customHeight="1">
      <c r="A22" s="1161"/>
      <c r="B22" s="26"/>
    </row>
    <row r="23" spans="1:21" ht="13.15" customHeight="1">
      <c r="A23" s="1161" t="s">
        <v>854</v>
      </c>
      <c r="B23" s="26"/>
      <c r="C23" s="1136">
        <v>0.5</v>
      </c>
      <c r="D23" s="415"/>
      <c r="E23" s="879">
        <v>0.5</v>
      </c>
      <c r="F23" s="415"/>
      <c r="G23" s="1198">
        <v>0.62</v>
      </c>
      <c r="H23" s="1197"/>
      <c r="I23" s="879">
        <v>0.38</v>
      </c>
      <c r="J23" s="1196"/>
      <c r="K23" s="1136">
        <v>0.31</v>
      </c>
      <c r="L23" s="415"/>
      <c r="M23" s="879">
        <v>0.69</v>
      </c>
    </row>
    <row r="24" spans="1:21" s="1161" customFormat="1" ht="13.15" customHeight="1">
      <c r="A24" s="1161" t="s">
        <v>853</v>
      </c>
      <c r="B24" s="26"/>
      <c r="C24" s="1136">
        <v>0.5</v>
      </c>
      <c r="D24" s="415"/>
      <c r="E24" s="879">
        <v>0.5</v>
      </c>
      <c r="F24" s="415"/>
      <c r="G24" s="1198">
        <v>0.63</v>
      </c>
      <c r="H24" s="1197"/>
      <c r="I24" s="879">
        <v>0.37</v>
      </c>
      <c r="J24" s="1196"/>
      <c r="K24" s="1136">
        <v>0.31</v>
      </c>
      <c r="L24" s="415"/>
      <c r="M24" s="879">
        <v>0.69</v>
      </c>
    </row>
    <row r="25" spans="1:21" ht="10.5" customHeight="1">
      <c r="A25" s="26"/>
      <c r="B25" s="26"/>
    </row>
    <row r="26" spans="1:21" ht="10.5" customHeight="1">
      <c r="A26" s="26"/>
      <c r="B26" s="26"/>
    </row>
    <row r="27" spans="1:21" ht="10.5" customHeight="1">
      <c r="A27" s="26"/>
      <c r="B27" s="26"/>
      <c r="L27" s="145"/>
      <c r="S27" s="185"/>
      <c r="T27" s="185"/>
      <c r="U27" s="185"/>
    </row>
    <row r="28" spans="1:21" ht="16.5" customHeight="1">
      <c r="A28" s="228" t="s">
        <v>129</v>
      </c>
      <c r="B28" s="1165"/>
      <c r="E28" s="185"/>
      <c r="F28" s="455"/>
      <c r="S28" s="185"/>
      <c r="T28" s="328"/>
      <c r="U28" s="328"/>
    </row>
    <row r="29" spans="1:21">
      <c r="S29" s="185"/>
      <c r="T29" s="328"/>
      <c r="U29" s="328"/>
    </row>
    <row r="30" spans="1:21" ht="29.25" customHeight="1">
      <c r="B30" s="1195" t="s">
        <v>34</v>
      </c>
      <c r="C30" s="951"/>
      <c r="D30" s="1195"/>
      <c r="F30" s="1628" t="s">
        <v>33</v>
      </c>
      <c r="G30" s="1628"/>
      <c r="H30" s="1628"/>
      <c r="J30" s="1628" t="s">
        <v>407</v>
      </c>
      <c r="K30" s="1628"/>
      <c r="L30" s="1628"/>
      <c r="N30" s="1627" t="s">
        <v>476</v>
      </c>
      <c r="O30" s="1628"/>
      <c r="P30" s="1628"/>
      <c r="S30" s="185"/>
      <c r="T30" s="328"/>
      <c r="U30" s="328"/>
    </row>
    <row r="31" spans="1:21">
      <c r="S31" s="185"/>
      <c r="T31" s="328"/>
      <c r="U31" s="328"/>
    </row>
    <row r="34" spans="1:25" ht="21">
      <c r="A34" t="s">
        <v>966</v>
      </c>
      <c r="B34" s="1326">
        <v>0.77</v>
      </c>
      <c r="C34" s="1310"/>
      <c r="D34" s="1327">
        <v>0.23</v>
      </c>
      <c r="E34" s="1161"/>
      <c r="F34" s="1326">
        <v>0.55000000000000004</v>
      </c>
      <c r="G34" s="1310"/>
      <c r="H34" s="1325">
        <v>0.45</v>
      </c>
      <c r="I34" s="1161"/>
      <c r="J34" s="1327">
        <v>0.6</v>
      </c>
      <c r="K34" s="1310"/>
      <c r="L34" s="1325">
        <v>0.4</v>
      </c>
      <c r="M34" s="1161"/>
      <c r="N34" s="1327">
        <v>0.74</v>
      </c>
      <c r="O34" s="1310"/>
      <c r="P34" s="1327">
        <v>0.26</v>
      </c>
    </row>
    <row r="35" spans="1:25">
      <c r="B35"/>
      <c r="C35" s="153"/>
      <c r="F35" s="145"/>
      <c r="G35" s="152"/>
      <c r="H35" s="439"/>
      <c r="I35" s="153"/>
      <c r="L35" s="153"/>
      <c r="M35" s="154"/>
    </row>
    <row r="36" spans="1:25" ht="15.75">
      <c r="A36" t="s">
        <v>854</v>
      </c>
      <c r="B36" s="879">
        <v>0.8</v>
      </c>
      <c r="C36" s="1197"/>
      <c r="D36" s="1198">
        <v>0.2</v>
      </c>
      <c r="E36" s="1197"/>
      <c r="F36" s="879">
        <v>0.54</v>
      </c>
      <c r="G36" s="1197"/>
      <c r="H36" s="1136">
        <v>0.46</v>
      </c>
      <c r="I36" s="1197"/>
      <c r="J36" s="1198">
        <v>0.59</v>
      </c>
      <c r="K36" s="1197"/>
      <c r="L36" s="1136">
        <v>0.41</v>
      </c>
      <c r="M36" s="1197"/>
      <c r="N36" s="1198">
        <v>0.77</v>
      </c>
      <c r="O36" s="1197"/>
      <c r="P36" s="1198">
        <v>0.23</v>
      </c>
    </row>
    <row r="37" spans="1:25" ht="15.75">
      <c r="A37" t="s">
        <v>853</v>
      </c>
      <c r="B37" s="879">
        <v>0.77</v>
      </c>
      <c r="C37" s="1197"/>
      <c r="D37" s="1198">
        <v>0.23</v>
      </c>
      <c r="E37" s="1197"/>
      <c r="F37" s="879">
        <v>0.54</v>
      </c>
      <c r="G37" s="1197"/>
      <c r="H37" s="1136">
        <v>0.46</v>
      </c>
      <c r="I37" s="1197"/>
      <c r="J37" s="1198">
        <v>0.61</v>
      </c>
      <c r="K37" s="1197"/>
      <c r="L37" s="1136">
        <v>0.39</v>
      </c>
      <c r="M37" s="1197"/>
      <c r="N37" s="1198">
        <v>0.75</v>
      </c>
      <c r="O37" s="1197"/>
      <c r="P37" s="1198">
        <v>0.25</v>
      </c>
    </row>
    <row r="40" spans="1:25" ht="15.75">
      <c r="A40" s="161"/>
      <c r="B40" s="161"/>
      <c r="C40" s="153"/>
      <c r="D40" s="153"/>
      <c r="E40" s="153"/>
      <c r="F40" s="153"/>
      <c r="G40" s="153"/>
      <c r="H40" s="153"/>
      <c r="I40" s="153"/>
      <c r="J40" s="153"/>
      <c r="K40" s="153"/>
      <c r="L40" s="153"/>
      <c r="M40" s="153"/>
      <c r="N40" s="153"/>
      <c r="O40" s="153"/>
    </row>
    <row r="41" spans="1:25">
      <c r="D41" s="145"/>
      <c r="E41" s="145"/>
      <c r="Y41" s="145"/>
    </row>
    <row r="42" spans="1:25">
      <c r="D42" s="145"/>
      <c r="E42" s="145"/>
      <c r="Y42" s="145"/>
    </row>
    <row r="43" spans="1:25">
      <c r="D43" s="145"/>
      <c r="E43" s="145"/>
      <c r="Q43" s="145"/>
      <c r="R43" s="145"/>
      <c r="Y43" s="145"/>
    </row>
    <row r="44" spans="1:25" ht="18.75">
      <c r="A44" s="228" t="s">
        <v>203</v>
      </c>
      <c r="B44" s="1165"/>
      <c r="D44" s="145"/>
      <c r="E44" s="145"/>
      <c r="Q44" s="145"/>
      <c r="R44" s="145"/>
      <c r="Y44" s="145"/>
    </row>
    <row r="45" spans="1:25">
      <c r="Q45" s="145"/>
      <c r="R45" s="145"/>
      <c r="Y45" s="145"/>
    </row>
    <row r="46" spans="1:25" ht="11.25" thickBot="1">
      <c r="A46" s="729"/>
      <c r="B46" s="1169"/>
      <c r="G46" s="145"/>
      <c r="Q46" s="145"/>
      <c r="R46" s="145"/>
    </row>
    <row r="47" spans="1:25" ht="12" thickBot="1">
      <c r="C47" s="1629">
        <v>2019</v>
      </c>
      <c r="D47" s="1630"/>
      <c r="E47" s="1629">
        <v>2020</v>
      </c>
      <c r="F47" s="1630"/>
      <c r="G47" s="1629">
        <v>2021</v>
      </c>
      <c r="H47" s="1630"/>
    </row>
    <row r="48" spans="1:25" ht="4.5" customHeight="1" thickBot="1">
      <c r="G48" s="1161"/>
      <c r="H48" s="1161"/>
    </row>
    <row r="49" spans="1:16" ht="12" thickBot="1">
      <c r="A49" s="272"/>
      <c r="B49" s="272"/>
      <c r="C49" s="401" t="s">
        <v>89</v>
      </c>
      <c r="D49" s="401" t="s">
        <v>88</v>
      </c>
      <c r="E49" s="401" t="s">
        <v>89</v>
      </c>
      <c r="F49" s="401" t="s">
        <v>88</v>
      </c>
      <c r="G49" s="401" t="s">
        <v>89</v>
      </c>
      <c r="H49" s="401" t="s">
        <v>88</v>
      </c>
    </row>
    <row r="50" spans="1:16" ht="12" thickBot="1">
      <c r="B50" s="798" t="s">
        <v>125</v>
      </c>
      <c r="C50" s="401">
        <v>0.56999999999999995</v>
      </c>
      <c r="D50" s="401">
        <v>0.43</v>
      </c>
      <c r="E50" s="401">
        <v>0.55000000000000004</v>
      </c>
      <c r="F50" s="401">
        <v>0.45</v>
      </c>
      <c r="G50" s="401">
        <v>0.54</v>
      </c>
      <c r="H50" s="401">
        <v>0.46</v>
      </c>
    </row>
    <row r="51" spans="1:16" ht="12" thickBot="1">
      <c r="B51" s="798" t="s">
        <v>126</v>
      </c>
      <c r="C51" s="401">
        <v>0.56999999999999995</v>
      </c>
      <c r="D51" s="401">
        <v>0.43</v>
      </c>
      <c r="E51" s="401">
        <v>0.52</v>
      </c>
      <c r="F51" s="401">
        <v>0.48</v>
      </c>
      <c r="G51" s="401">
        <v>0.52</v>
      </c>
      <c r="H51" s="401">
        <v>0.48</v>
      </c>
    </row>
    <row r="52" spans="1:16" ht="12" thickBot="1">
      <c r="B52" s="798" t="s">
        <v>709</v>
      </c>
      <c r="C52" s="401">
        <v>0.26</v>
      </c>
      <c r="D52" s="401">
        <v>0.74</v>
      </c>
      <c r="E52" s="401">
        <v>0.26</v>
      </c>
      <c r="F52" s="401">
        <v>0.74</v>
      </c>
      <c r="G52" s="401">
        <v>0.3</v>
      </c>
      <c r="H52" s="401">
        <v>0.7</v>
      </c>
    </row>
    <row r="53" spans="1:16" ht="12" thickBot="1">
      <c r="B53" s="798" t="s">
        <v>128</v>
      </c>
      <c r="C53" s="401">
        <v>0.28000000000000003</v>
      </c>
      <c r="D53" s="401">
        <v>0.72</v>
      </c>
      <c r="E53" s="401">
        <v>0.26</v>
      </c>
      <c r="F53" s="401">
        <v>0.74</v>
      </c>
      <c r="G53" s="401">
        <v>0.35</v>
      </c>
      <c r="H53" s="401">
        <v>0.65</v>
      </c>
    </row>
    <row r="56" spans="1:16" ht="18.75">
      <c r="A56" s="228" t="s">
        <v>314</v>
      </c>
      <c r="B56" s="1165"/>
    </row>
    <row r="58" spans="1:16">
      <c r="C58" s="154"/>
      <c r="D58" s="154"/>
      <c r="E58" s="154"/>
      <c r="F58" s="154"/>
    </row>
    <row r="59" spans="1:16" ht="15.75">
      <c r="C59" s="1628" t="s">
        <v>60</v>
      </c>
      <c r="D59" s="1628"/>
      <c r="E59" s="1628"/>
      <c r="G59" s="1628" t="s">
        <v>61</v>
      </c>
      <c r="H59" s="1628"/>
      <c r="I59" s="1628"/>
      <c r="K59" s="1628" t="s">
        <v>62</v>
      </c>
      <c r="L59" s="1628"/>
      <c r="M59" s="1628"/>
    </row>
    <row r="60" spans="1:16" ht="15.75" customHeight="1">
      <c r="C60" s="153"/>
      <c r="D60" s="152"/>
      <c r="E60" s="152"/>
      <c r="F60" s="154"/>
      <c r="K60" s="145"/>
      <c r="L60" s="145"/>
    </row>
    <row r="61" spans="1:16">
      <c r="J61" s="138"/>
      <c r="K61" s="156"/>
      <c r="L61" s="156"/>
      <c r="N61" s="925">
        <v>310</v>
      </c>
      <c r="O61" s="925">
        <v>137</v>
      </c>
      <c r="P61" s="925">
        <v>447</v>
      </c>
    </row>
    <row r="62" spans="1:16" ht="9.75" customHeight="1">
      <c r="J62" s="157"/>
      <c r="K62" s="158"/>
      <c r="L62" s="158"/>
      <c r="M62" s="145"/>
      <c r="N62" s="925">
        <v>128</v>
      </c>
      <c r="O62" s="925">
        <v>41</v>
      </c>
      <c r="P62" s="925">
        <v>169</v>
      </c>
    </row>
    <row r="63" spans="1:16" s="1161" customFormat="1" ht="18.75">
      <c r="B63" s="1161" t="s">
        <v>966</v>
      </c>
      <c r="C63" s="1328">
        <v>0.41</v>
      </c>
      <c r="D63" s="1310"/>
      <c r="E63" s="1329">
        <v>0.59</v>
      </c>
      <c r="G63" s="1328">
        <v>0.27</v>
      </c>
      <c r="H63" s="1310"/>
      <c r="I63" s="1329">
        <v>0.73</v>
      </c>
      <c r="J63" s="1310"/>
      <c r="K63" s="1328">
        <v>0.25</v>
      </c>
      <c r="L63" s="1310"/>
      <c r="M63" s="1329">
        <v>0.75</v>
      </c>
      <c r="N63" s="925"/>
      <c r="O63" s="925"/>
      <c r="P63" s="925"/>
    </row>
    <row r="64" spans="1:16">
      <c r="E64" s="729"/>
      <c r="K64" s="145"/>
      <c r="M64" s="145"/>
      <c r="N64" s="926" t="e">
        <f>N63/P63</f>
        <v>#DIV/0!</v>
      </c>
      <c r="O64" s="925"/>
      <c r="P64" s="925"/>
    </row>
    <row r="65" spans="1:16" ht="15.75">
      <c r="B65" s="1161" t="s">
        <v>854</v>
      </c>
      <c r="C65" s="1136">
        <v>0.41</v>
      </c>
      <c r="D65" s="1197"/>
      <c r="E65" s="879">
        <v>0.59</v>
      </c>
      <c r="F65" s="1197"/>
      <c r="G65" s="1136">
        <v>0.26</v>
      </c>
      <c r="H65" s="1197"/>
      <c r="I65" s="879">
        <v>0.74</v>
      </c>
      <c r="J65" s="1197"/>
      <c r="K65" s="1136">
        <v>0.24</v>
      </c>
      <c r="L65" s="1197"/>
      <c r="M65" s="879">
        <v>0.76</v>
      </c>
      <c r="N65" s="925"/>
      <c r="O65" s="925"/>
      <c r="P65" s="925"/>
    </row>
    <row r="66" spans="1:16" ht="15.75">
      <c r="B66" s="1161" t="s">
        <v>853</v>
      </c>
      <c r="C66" s="1136">
        <v>0.44</v>
      </c>
      <c r="D66" s="1197"/>
      <c r="E66" s="879">
        <v>0.56000000000000005</v>
      </c>
      <c r="F66" s="1197"/>
      <c r="G66" s="1136">
        <v>0.26</v>
      </c>
      <c r="H66" s="1197"/>
      <c r="I66" s="879">
        <v>0.74</v>
      </c>
      <c r="J66" s="1197"/>
      <c r="K66" s="1136">
        <v>0.24</v>
      </c>
      <c r="L66" s="1197"/>
      <c r="M66" s="879">
        <v>0.76</v>
      </c>
      <c r="N66" s="925"/>
    </row>
    <row r="69" spans="1:16" ht="24">
      <c r="A69" s="752"/>
      <c r="B69" s="752"/>
      <c r="C69" s="228"/>
      <c r="D69" s="228"/>
      <c r="E69" s="228"/>
      <c r="F69" s="228"/>
      <c r="G69" s="228"/>
      <c r="H69" s="228"/>
      <c r="I69" s="228"/>
    </row>
    <row r="70" spans="1:16" ht="11.25">
      <c r="E70" s="157"/>
      <c r="G70" s="157"/>
    </row>
    <row r="71" spans="1:16" ht="15.75">
      <c r="C71" s="411"/>
      <c r="D71" s="411"/>
      <c r="E71" s="411"/>
      <c r="F71" s="411"/>
      <c r="G71" s="411"/>
      <c r="H71" s="411"/>
      <c r="I71" s="411"/>
      <c r="J71" s="411"/>
      <c r="K71" s="411"/>
      <c r="L71" s="411"/>
    </row>
    <row r="72" spans="1:16" ht="11.25">
      <c r="D72" s="336"/>
      <c r="E72" s="336"/>
      <c r="F72" s="361"/>
      <c r="G72" s="361"/>
      <c r="I72" s="145"/>
    </row>
    <row r="73" spans="1:16" ht="11.25">
      <c r="D73" s="336"/>
      <c r="E73" s="336"/>
      <c r="F73" s="361"/>
      <c r="G73" s="361"/>
      <c r="I73" s="145"/>
    </row>
    <row r="74" spans="1:16" ht="11.25">
      <c r="D74" s="336"/>
      <c r="E74" s="336"/>
      <c r="F74" s="361"/>
      <c r="G74" s="361"/>
      <c r="H74" s="145"/>
      <c r="I74" s="145"/>
    </row>
    <row r="75" spans="1:16" ht="11.25">
      <c r="D75" s="336"/>
      <c r="E75" s="336"/>
      <c r="F75" s="361"/>
      <c r="G75" s="361"/>
      <c r="H75" s="361"/>
      <c r="I75" s="145"/>
      <c r="J75" s="1"/>
      <c r="K75" s="160"/>
      <c r="L75" s="160"/>
      <c r="M75" s="160"/>
    </row>
    <row r="76" spans="1:16" ht="11.25">
      <c r="D76" s="336"/>
      <c r="E76" s="336"/>
      <c r="F76" s="361"/>
      <c r="G76" s="361"/>
      <c r="H76" s="585"/>
      <c r="I76" s="145"/>
      <c r="K76" s="159"/>
      <c r="L76" s="159"/>
      <c r="M76" s="159"/>
    </row>
    <row r="77" spans="1:16" ht="11.25">
      <c r="D77" s="336"/>
      <c r="E77" s="336"/>
      <c r="F77" s="361"/>
      <c r="G77" s="361"/>
      <c r="H77" s="159"/>
      <c r="K77" s="159"/>
      <c r="L77" s="159"/>
      <c r="M77" s="159"/>
    </row>
    <row r="78" spans="1:16" ht="11.25">
      <c r="D78" s="336"/>
      <c r="E78" s="336"/>
      <c r="F78" s="361"/>
      <c r="G78" s="361"/>
      <c r="H78" s="159"/>
      <c r="K78" s="159"/>
      <c r="L78" s="159"/>
      <c r="M78" s="159"/>
    </row>
    <row r="79" spans="1:16" ht="11.25">
      <c r="D79" s="336"/>
      <c r="E79" s="336"/>
      <c r="F79" s="361"/>
      <c r="G79" s="361"/>
      <c r="H79" s="159"/>
      <c r="K79" s="159"/>
      <c r="L79" s="159"/>
      <c r="M79" s="159"/>
    </row>
    <row r="80" spans="1:16" ht="11.25">
      <c r="D80" s="336"/>
      <c r="E80" s="336"/>
      <c r="F80" s="361"/>
      <c r="G80" s="361"/>
      <c r="H80" s="159"/>
      <c r="K80" s="159"/>
      <c r="L80" s="159"/>
      <c r="M80" s="159"/>
    </row>
    <row r="81" spans="1:9">
      <c r="D81" s="145"/>
      <c r="E81" s="145"/>
    </row>
    <row r="82" spans="1:9" ht="12">
      <c r="A82" s="652"/>
      <c r="B82" s="652"/>
    </row>
    <row r="83" spans="1:9" ht="12">
      <c r="A83" s="652"/>
      <c r="B83" s="652"/>
      <c r="C83" s="652"/>
      <c r="F83" s="145"/>
      <c r="H83" s="153"/>
      <c r="I83" s="152"/>
    </row>
    <row r="84" spans="1:9">
      <c r="F84" s="145"/>
      <c r="H84" s="153"/>
      <c r="I84" s="152"/>
    </row>
    <row r="85" spans="1:9" ht="12">
      <c r="A85" s="652"/>
      <c r="B85" s="652"/>
      <c r="C85" s="652"/>
    </row>
    <row r="86" spans="1:9" ht="12">
      <c r="A86" s="652"/>
      <c r="B86" s="652"/>
      <c r="C86" s="652"/>
    </row>
    <row r="87" spans="1:9" ht="12">
      <c r="A87" s="652"/>
      <c r="B87" s="652"/>
      <c r="C87" s="652"/>
    </row>
    <row r="88" spans="1:9" ht="12">
      <c r="A88" s="652"/>
      <c r="B88" s="652"/>
      <c r="C88" s="652"/>
    </row>
    <row r="89" spans="1:9" ht="12">
      <c r="A89" s="652"/>
      <c r="B89" s="652"/>
      <c r="C89" s="652"/>
    </row>
    <row r="90" spans="1:9" ht="12">
      <c r="A90" s="652"/>
      <c r="B90" s="652"/>
      <c r="C90" s="652"/>
    </row>
    <row r="91" spans="1:9" ht="12">
      <c r="A91" s="652"/>
      <c r="B91" s="652"/>
      <c r="C91" s="652"/>
    </row>
    <row r="92" spans="1:9" ht="12">
      <c r="A92" s="652"/>
      <c r="B92" s="652"/>
      <c r="C92" s="652"/>
    </row>
    <row r="93" spans="1:9" ht="12">
      <c r="A93" s="652"/>
      <c r="B93" s="652"/>
      <c r="C93" s="652"/>
    </row>
  </sheetData>
  <mergeCells count="12">
    <mergeCell ref="N30:P30"/>
    <mergeCell ref="K17:M17"/>
    <mergeCell ref="G17:I17"/>
    <mergeCell ref="C17:E17"/>
    <mergeCell ref="K59:M59"/>
    <mergeCell ref="G59:I59"/>
    <mergeCell ref="C59:E59"/>
    <mergeCell ref="F30:H30"/>
    <mergeCell ref="J30:L30"/>
    <mergeCell ref="C47:D47"/>
    <mergeCell ref="E47:F47"/>
    <mergeCell ref="G47:H47"/>
  </mergeCells>
  <pageMargins left="0.11811023622047245" right="0.11811023622047245" top="0.35433070866141736" bottom="0.35433070866141736" header="0.31496062992125984" footer="0.31496062992125984"/>
  <pageSetup paperSize="9" scale="88" fitToHeight="0" orientation="landscape" r:id="rId1"/>
  <rowBreaks count="1" manualBreakCount="1">
    <brk id="42" max="15" man="1"/>
  </rowBreaks>
  <colBreaks count="1" manualBreakCount="1">
    <brk id="17"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AA33"/>
  <sheetViews>
    <sheetView showGridLines="0" zoomScaleNormal="100" zoomScaleSheetLayoutView="100" workbookViewId="0">
      <selection activeCell="U14" sqref="F14:V15"/>
    </sheetView>
  </sheetViews>
  <sheetFormatPr baseColWidth="10" defaultRowHeight="10.5"/>
  <cols>
    <col min="1" max="1" width="6.1640625" customWidth="1"/>
    <col min="2" max="4" width="8.6640625" customWidth="1"/>
    <col min="5" max="5" width="3.33203125" customWidth="1"/>
    <col min="6" max="8" width="8.6640625" customWidth="1"/>
    <col min="9" max="9" width="3.33203125" customWidth="1"/>
    <col min="10" max="12" width="8.6640625" customWidth="1"/>
    <col min="13" max="13" width="3.33203125" customWidth="1"/>
    <col min="14" max="16" width="8.6640625" customWidth="1"/>
    <col min="17" max="17" width="3.33203125" customWidth="1"/>
    <col min="18" max="22" width="8.6640625" customWidth="1"/>
    <col min="23" max="23" width="12.5" customWidth="1"/>
  </cols>
  <sheetData>
    <row r="1" spans="1:24" ht="18.75">
      <c r="A1" s="228" t="s">
        <v>547</v>
      </c>
    </row>
    <row r="2" spans="1:24" ht="16.5" thickBot="1">
      <c r="B2" s="155"/>
    </row>
    <row r="3" spans="1:24" s="415" customFormat="1" ht="45.6" customHeight="1" thickTop="1">
      <c r="B3" s="1631" t="s">
        <v>219</v>
      </c>
      <c r="C3" s="1632"/>
      <c r="D3" s="1633"/>
      <c r="E3" s="416"/>
      <c r="F3" s="1631" t="s">
        <v>477</v>
      </c>
      <c r="G3" s="1632"/>
      <c r="H3" s="1633"/>
      <c r="I3" s="416"/>
      <c r="J3" s="1631" t="s">
        <v>413</v>
      </c>
      <c r="K3" s="1632"/>
      <c r="L3" s="1633"/>
      <c r="M3" s="416"/>
      <c r="N3" s="1631" t="s">
        <v>370</v>
      </c>
      <c r="O3" s="1632"/>
      <c r="P3" s="1633"/>
      <c r="Q3" s="416"/>
      <c r="R3" s="1631" t="s">
        <v>220</v>
      </c>
      <c r="S3" s="1632"/>
      <c r="T3" s="1633"/>
    </row>
    <row r="4" spans="1:24">
      <c r="B4" s="402"/>
      <c r="C4" s="185"/>
      <c r="D4" s="403"/>
      <c r="E4" s="407"/>
      <c r="F4" s="402"/>
      <c r="G4" s="185"/>
      <c r="H4" s="403"/>
      <c r="I4" s="407"/>
      <c r="J4" s="402"/>
      <c r="K4" s="185"/>
      <c r="L4" s="403"/>
      <c r="M4" s="407"/>
      <c r="N4" s="402"/>
      <c r="O4" s="185"/>
      <c r="P4" s="403"/>
      <c r="Q4" s="407"/>
      <c r="R4" s="402"/>
      <c r="S4" s="185"/>
      <c r="T4" s="403"/>
    </row>
    <row r="5" spans="1:24">
      <c r="B5" s="402"/>
      <c r="C5" s="185"/>
      <c r="D5" s="403"/>
      <c r="E5" s="407"/>
      <c r="F5" s="402"/>
      <c r="G5" s="185"/>
      <c r="H5" s="403"/>
      <c r="I5" s="407"/>
      <c r="J5" s="402"/>
      <c r="K5" s="185"/>
      <c r="L5" s="403"/>
      <c r="M5" s="407"/>
      <c r="N5" s="402"/>
      <c r="O5" s="185"/>
      <c r="P5" s="403"/>
      <c r="Q5" s="407"/>
      <c r="R5" s="402"/>
      <c r="S5" s="185"/>
      <c r="T5" s="403"/>
    </row>
    <row r="6" spans="1:24">
      <c r="B6" s="402"/>
      <c r="C6" s="185"/>
      <c r="D6" s="403"/>
      <c r="E6" s="407"/>
      <c r="F6" s="402"/>
      <c r="G6" s="185"/>
      <c r="H6" s="403"/>
      <c r="I6" s="407"/>
      <c r="J6" s="402"/>
      <c r="K6" s="185"/>
      <c r="L6" s="403"/>
      <c r="M6" s="407"/>
      <c r="N6" s="402"/>
      <c r="O6" s="185"/>
      <c r="P6" s="403"/>
      <c r="Q6" s="407"/>
      <c r="R6" s="402"/>
      <c r="S6" s="409"/>
      <c r="T6" s="410"/>
      <c r="U6" s="145"/>
      <c r="V6" s="145"/>
      <c r="W6" s="145"/>
      <c r="X6" s="152"/>
    </row>
    <row r="7" spans="1:24" ht="15.75">
      <c r="B7" s="1016">
        <v>0.55000000000000004</v>
      </c>
      <c r="C7" s="1190"/>
      <c r="D7" s="1017">
        <v>0.45</v>
      </c>
      <c r="E7" s="1408"/>
      <c r="F7" s="1016">
        <v>0.4</v>
      </c>
      <c r="G7" s="1190"/>
      <c r="H7" s="1017">
        <v>0.6</v>
      </c>
      <c r="I7" s="1408"/>
      <c r="J7" s="1016">
        <v>0.55000000000000004</v>
      </c>
      <c r="K7" s="1190"/>
      <c r="L7" s="1017">
        <v>0.45</v>
      </c>
      <c r="M7" s="1408"/>
      <c r="N7" s="1016">
        <v>0.45</v>
      </c>
      <c r="O7" s="1190"/>
      <c r="P7" s="1017">
        <v>0.55000000000000004</v>
      </c>
      <c r="Q7" s="1408"/>
      <c r="R7" s="1016">
        <v>0.28999999999999998</v>
      </c>
      <c r="S7" s="1409"/>
      <c r="T7" s="1017">
        <v>0.71</v>
      </c>
      <c r="U7" s="145"/>
      <c r="V7" s="145"/>
      <c r="W7" s="145"/>
      <c r="X7" s="152"/>
    </row>
    <row r="8" spans="1:24">
      <c r="B8" s="402"/>
      <c r="C8" s="185"/>
      <c r="D8" s="403"/>
      <c r="E8" s="407"/>
      <c r="F8" s="402"/>
      <c r="G8" s="185"/>
      <c r="H8" s="403"/>
      <c r="I8" s="407"/>
      <c r="J8" s="402"/>
      <c r="K8" s="185"/>
      <c r="L8" s="403"/>
      <c r="M8" s="407"/>
      <c r="N8" s="402"/>
      <c r="O8" s="185"/>
      <c r="P8" s="403"/>
      <c r="Q8" s="407"/>
      <c r="R8" s="402"/>
      <c r="S8" s="185"/>
      <c r="T8" s="403"/>
    </row>
    <row r="9" spans="1:24" ht="11.25" thickBot="1">
      <c r="B9" s="404"/>
      <c r="C9" s="405"/>
      <c r="D9" s="406"/>
      <c r="E9" s="407"/>
      <c r="F9" s="404"/>
      <c r="G9" s="405"/>
      <c r="H9" s="406"/>
      <c r="I9" s="407"/>
      <c r="J9" s="404"/>
      <c r="K9" s="405"/>
      <c r="L9" s="406"/>
      <c r="M9" s="407"/>
      <c r="N9" s="408"/>
      <c r="O9" s="405"/>
      <c r="P9" s="406"/>
      <c r="Q9" s="407"/>
      <c r="R9" s="404"/>
      <c r="S9" s="405"/>
      <c r="T9" s="406"/>
    </row>
    <row r="10" spans="1:24" ht="11.25" thickTop="1">
      <c r="N10" s="145"/>
    </row>
    <row r="12" spans="1:24" ht="28.9" customHeight="1">
      <c r="B12" s="1638" t="s">
        <v>408</v>
      </c>
      <c r="C12" s="1638"/>
      <c r="D12" s="1638"/>
      <c r="E12" s="1638"/>
      <c r="F12" s="1638"/>
      <c r="G12" s="1638"/>
      <c r="H12" s="411"/>
      <c r="I12" s="411"/>
      <c r="J12" s="1639" t="s">
        <v>716</v>
      </c>
      <c r="K12" s="1639"/>
      <c r="L12" s="1639"/>
      <c r="M12" s="1639"/>
      <c r="N12" s="1639"/>
      <c r="O12" s="1639"/>
      <c r="R12" s="1638" t="s">
        <v>409</v>
      </c>
      <c r="S12" s="1638"/>
      <c r="T12" s="1638"/>
      <c r="U12" s="1638"/>
      <c r="V12" s="1638"/>
    </row>
    <row r="13" spans="1:24" ht="2.25" customHeight="1" thickBot="1"/>
    <row r="14" spans="1:24" ht="29.25" customHeight="1" thickTop="1">
      <c r="F14" s="1634" t="s">
        <v>1119</v>
      </c>
      <c r="G14" s="1635"/>
      <c r="N14" s="1634" t="s">
        <v>1119</v>
      </c>
      <c r="O14" s="1635"/>
      <c r="U14" s="1634" t="s">
        <v>1119</v>
      </c>
      <c r="V14" s="1635"/>
    </row>
    <row r="15" spans="1:24" ht="10.5" customHeight="1">
      <c r="F15" s="1636"/>
      <c r="G15" s="1637"/>
      <c r="N15" s="1636"/>
      <c r="O15" s="1637"/>
      <c r="U15" s="1636"/>
      <c r="V15" s="1637"/>
    </row>
    <row r="16" spans="1:24" ht="26.25" thickBot="1">
      <c r="B16" s="1136">
        <v>0.51</v>
      </c>
      <c r="C16" s="298"/>
      <c r="D16" s="1136">
        <v>0.49</v>
      </c>
      <c r="E16" s="1136"/>
      <c r="F16" s="1311" t="s">
        <v>531</v>
      </c>
      <c r="G16" s="1312" t="s">
        <v>995</v>
      </c>
      <c r="H16" s="298"/>
      <c r="I16" s="298"/>
      <c r="J16" s="1136">
        <f>12/20</f>
        <v>0.6</v>
      </c>
      <c r="K16" s="298"/>
      <c r="L16" s="1136">
        <f>8/20</f>
        <v>0.4</v>
      </c>
      <c r="M16" s="298"/>
      <c r="N16" s="1311" t="s">
        <v>531</v>
      </c>
      <c r="O16" s="1312" t="s">
        <v>948</v>
      </c>
      <c r="P16" s="298"/>
      <c r="Q16" s="298"/>
      <c r="R16" s="1136">
        <f>30/41</f>
        <v>0.73170731707317072</v>
      </c>
      <c r="S16" s="298"/>
      <c r="T16" s="1136">
        <f>11/41</f>
        <v>0.26829268292682928</v>
      </c>
      <c r="U16" s="1311" t="s">
        <v>531</v>
      </c>
      <c r="V16" s="1312" t="s">
        <v>748</v>
      </c>
    </row>
    <row r="17" spans="1:27" ht="11.25" thickTop="1"/>
    <row r="19" spans="1:27" ht="18.75">
      <c r="A19" s="228" t="s">
        <v>533</v>
      </c>
    </row>
    <row r="21" spans="1:27" ht="33.6" customHeight="1" thickBot="1">
      <c r="A21" s="1638" t="s">
        <v>715</v>
      </c>
      <c r="B21" s="1638"/>
      <c r="C21" s="1638"/>
      <c r="D21" s="1638"/>
      <c r="E21" s="1638"/>
      <c r="F21" s="1638"/>
      <c r="G21" s="1638"/>
      <c r="H21" s="1638"/>
      <c r="J21" s="284"/>
      <c r="N21" s="1638" t="s">
        <v>799</v>
      </c>
      <c r="O21" s="1638"/>
      <c r="P21" s="1638"/>
      <c r="Q21" s="1638"/>
      <c r="R21" s="1638"/>
      <c r="S21" s="1638"/>
      <c r="T21" s="754"/>
    </row>
    <row r="22" spans="1:27" ht="12.6" customHeight="1" thickTop="1">
      <c r="A22" s="298"/>
      <c r="B22" s="298"/>
      <c r="C22" s="298"/>
      <c r="D22" s="298"/>
      <c r="E22" s="298"/>
      <c r="F22" s="298"/>
      <c r="G22" s="1634" t="s">
        <v>1119</v>
      </c>
      <c r="H22" s="1635"/>
      <c r="M22" s="298"/>
      <c r="N22" s="298"/>
      <c r="O22" s="298"/>
      <c r="P22" s="298"/>
      <c r="Q22" s="298"/>
      <c r="R22" s="298"/>
      <c r="S22" s="1634" t="s">
        <v>1119</v>
      </c>
      <c r="T22" s="1635"/>
      <c r="U22" s="298"/>
      <c r="X22" s="611"/>
      <c r="Y22" s="432"/>
      <c r="AA22" s="145"/>
    </row>
    <row r="23" spans="1:27" ht="12" customHeight="1">
      <c r="A23" s="1640" t="s">
        <v>571</v>
      </c>
      <c r="B23" s="1640"/>
      <c r="C23" s="298"/>
      <c r="E23" s="298"/>
      <c r="F23" s="298"/>
      <c r="G23" s="1636"/>
      <c r="H23" s="1637"/>
      <c r="M23" s="298"/>
      <c r="N23" s="1640" t="s">
        <v>571</v>
      </c>
      <c r="O23" s="1640"/>
      <c r="P23" s="298"/>
      <c r="Q23" s="298"/>
      <c r="R23" s="298"/>
      <c r="S23" s="1636"/>
      <c r="T23" s="1637"/>
      <c r="U23" s="298"/>
      <c r="V23" s="242"/>
      <c r="X23" s="611"/>
      <c r="Y23" s="432"/>
      <c r="AA23" s="145"/>
    </row>
    <row r="24" spans="1:27" ht="12.75">
      <c r="A24" s="298"/>
      <c r="B24" s="298"/>
      <c r="C24" s="298"/>
      <c r="D24" s="298"/>
      <c r="E24" s="298"/>
      <c r="F24" s="298"/>
      <c r="G24" s="1636"/>
      <c r="H24" s="1637"/>
      <c r="M24" s="298"/>
      <c r="N24" s="298"/>
      <c r="O24" s="298"/>
      <c r="P24" s="298"/>
      <c r="Q24" s="298"/>
      <c r="R24" s="298"/>
      <c r="S24" s="1636"/>
      <c r="T24" s="1637"/>
      <c r="U24" s="298"/>
      <c r="X24" s="611"/>
      <c r="Y24" s="432"/>
      <c r="AA24" s="145"/>
    </row>
    <row r="25" spans="1:27" ht="26.25" thickBot="1">
      <c r="A25" s="298"/>
      <c r="B25" s="1309">
        <v>0.52</v>
      </c>
      <c r="C25" s="1310"/>
      <c r="D25" s="1309">
        <v>0.48</v>
      </c>
      <c r="E25" s="1310"/>
      <c r="F25" s="1310"/>
      <c r="G25" s="1311" t="s">
        <v>531</v>
      </c>
      <c r="H25" s="1312" t="s">
        <v>995</v>
      </c>
      <c r="M25" s="298"/>
      <c r="N25" s="298"/>
      <c r="O25" s="1313">
        <v>0.43</v>
      </c>
      <c r="P25" s="1310"/>
      <c r="Q25" s="1310"/>
      <c r="R25" s="1496">
        <v>0.56999999999999995</v>
      </c>
      <c r="S25" s="1311" t="s">
        <v>531</v>
      </c>
      <c r="T25" s="1312" t="s">
        <v>1128</v>
      </c>
      <c r="U25" s="298"/>
      <c r="X25" s="611"/>
      <c r="Y25" s="432"/>
      <c r="AA25" s="145"/>
    </row>
    <row r="26" spans="1:27" ht="11.25" thickTop="1">
      <c r="A26" s="298"/>
      <c r="B26" s="298"/>
      <c r="C26" s="298"/>
      <c r="D26" s="880"/>
      <c r="E26" s="880"/>
      <c r="F26" s="880"/>
      <c r="G26" s="298"/>
      <c r="H26" s="298"/>
      <c r="M26" s="298"/>
      <c r="N26" s="298"/>
      <c r="O26" s="298"/>
      <c r="P26" s="298"/>
      <c r="Q26" s="298"/>
      <c r="R26" s="298"/>
      <c r="S26" s="298"/>
      <c r="T26" s="298"/>
      <c r="U26" s="298"/>
    </row>
    <row r="27" spans="1:27" ht="11.25" thickBot="1">
      <c r="A27" s="298"/>
      <c r="B27" s="298"/>
      <c r="C27" s="298"/>
      <c r="D27" s="880"/>
      <c r="E27" s="880"/>
      <c r="F27" s="880"/>
      <c r="G27" s="298"/>
      <c r="H27" s="298"/>
      <c r="M27" s="298"/>
      <c r="N27" s="298"/>
      <c r="O27" s="298"/>
      <c r="P27" s="298"/>
      <c r="Q27" s="298"/>
      <c r="R27" s="298"/>
      <c r="S27" s="298"/>
      <c r="T27" s="298"/>
      <c r="U27" s="298"/>
    </row>
    <row r="28" spans="1:27" ht="12.6" customHeight="1" thickTop="1">
      <c r="A28" s="1640" t="s">
        <v>572</v>
      </c>
      <c r="B28" s="1640"/>
      <c r="C28" s="1640"/>
      <c r="D28" s="429"/>
      <c r="E28" s="429"/>
      <c r="F28" s="298"/>
      <c r="G28" s="1634" t="s">
        <v>1119</v>
      </c>
      <c r="H28" s="1635"/>
      <c r="M28" s="298"/>
      <c r="N28" s="1640" t="s">
        <v>572</v>
      </c>
      <c r="O28" s="1640"/>
      <c r="P28" s="1640"/>
      <c r="Q28" s="298"/>
      <c r="R28" s="298"/>
      <c r="S28" s="1634" t="s">
        <v>1119</v>
      </c>
      <c r="T28" s="1635"/>
      <c r="U28" s="298"/>
      <c r="V28" s="298"/>
    </row>
    <row r="29" spans="1:27" ht="10.15" customHeight="1">
      <c r="A29" s="298"/>
      <c r="B29" s="298"/>
      <c r="C29" s="298"/>
      <c r="D29" s="298"/>
      <c r="E29" s="298"/>
      <c r="F29" s="298"/>
      <c r="G29" s="1636"/>
      <c r="H29" s="1637"/>
      <c r="M29" s="298"/>
      <c r="N29" s="298"/>
      <c r="O29" s="298"/>
      <c r="P29" s="298"/>
      <c r="Q29" s="298"/>
      <c r="R29" s="298"/>
      <c r="S29" s="1636"/>
      <c r="T29" s="1637"/>
      <c r="U29" s="298"/>
    </row>
    <row r="30" spans="1:27" ht="10.15" customHeight="1">
      <c r="A30" s="298"/>
      <c r="B30" s="298"/>
      <c r="C30" s="298"/>
      <c r="D30" s="298"/>
      <c r="E30" s="298"/>
      <c r="F30" s="298"/>
      <c r="G30" s="1636"/>
      <c r="H30" s="1637"/>
      <c r="M30" s="298"/>
      <c r="N30" s="298"/>
      <c r="O30" s="298"/>
      <c r="P30" s="298"/>
      <c r="Q30" s="298"/>
      <c r="R30" s="298"/>
      <c r="S30" s="1636"/>
      <c r="T30" s="1637"/>
      <c r="U30" s="298"/>
    </row>
    <row r="31" spans="1:27" ht="26.25" thickBot="1">
      <c r="A31" s="298"/>
      <c r="B31" s="1309">
        <v>0.83</v>
      </c>
      <c r="C31" s="1310"/>
      <c r="D31" s="1313">
        <v>0.17</v>
      </c>
      <c r="E31" s="1310"/>
      <c r="F31" s="1310"/>
      <c r="G31" s="1311" t="s">
        <v>531</v>
      </c>
      <c r="H31" s="1312" t="s">
        <v>1118</v>
      </c>
      <c r="O31" s="1309">
        <v>0.64</v>
      </c>
      <c r="P31" s="1310"/>
      <c r="Q31" s="1310"/>
      <c r="R31" s="1496">
        <v>0.36</v>
      </c>
      <c r="S31" s="1311" t="s">
        <v>573</v>
      </c>
      <c r="T31" s="1312" t="s">
        <v>1129</v>
      </c>
      <c r="U31" s="770"/>
    </row>
    <row r="32" spans="1:27" ht="16.5" thickTop="1">
      <c r="A32" s="298"/>
      <c r="B32" s="298"/>
      <c r="C32" s="298"/>
      <c r="D32" s="879"/>
      <c r="E32" s="298"/>
      <c r="F32" s="298"/>
      <c r="G32" s="298"/>
      <c r="H32" s="298"/>
    </row>
    <row r="33" spans="4:15">
      <c r="D33" s="145"/>
      <c r="O33" s="284"/>
    </row>
  </sheetData>
  <mergeCells count="21">
    <mergeCell ref="G22:H24"/>
    <mergeCell ref="G28:H30"/>
    <mergeCell ref="S22:T24"/>
    <mergeCell ref="S28:T30"/>
    <mergeCell ref="B12:G12"/>
    <mergeCell ref="J12:O12"/>
    <mergeCell ref="R12:V12"/>
    <mergeCell ref="N21:S21"/>
    <mergeCell ref="A21:H21"/>
    <mergeCell ref="A23:B23"/>
    <mergeCell ref="N28:P28"/>
    <mergeCell ref="N23:O23"/>
    <mergeCell ref="A28:C28"/>
    <mergeCell ref="F14:G15"/>
    <mergeCell ref="N14:O15"/>
    <mergeCell ref="U14:V15"/>
    <mergeCell ref="B3:D3"/>
    <mergeCell ref="F3:H3"/>
    <mergeCell ref="J3:L3"/>
    <mergeCell ref="N3:P3"/>
    <mergeCell ref="R3:T3"/>
  </mergeCells>
  <pageMargins left="0.11811023622047245" right="0.11811023622047245" top="0" bottom="0"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T169"/>
  <sheetViews>
    <sheetView showGridLines="0" tabSelected="1" topLeftCell="A55" zoomScaleNormal="100" workbookViewId="0">
      <selection activeCell="G14" sqref="G14:K14"/>
    </sheetView>
  </sheetViews>
  <sheetFormatPr baseColWidth="10" defaultColWidth="10.33203125" defaultRowHeight="11.25"/>
  <cols>
    <col min="1" max="1" width="4" style="56" customWidth="1"/>
    <col min="2" max="2" width="22.33203125" style="56" customWidth="1"/>
    <col min="3" max="4" width="19.6640625" style="56" customWidth="1"/>
    <col min="5" max="5" width="14.5" style="56" customWidth="1"/>
    <col min="6" max="7" width="17.1640625" style="56" customWidth="1"/>
    <col min="8" max="8" width="14.6640625" style="56" customWidth="1"/>
    <col min="9" max="9" width="21.83203125" style="56" customWidth="1"/>
    <col min="10" max="10" width="9.6640625" style="56" customWidth="1"/>
    <col min="11" max="11" width="12.6640625" style="56" customWidth="1"/>
    <col min="12" max="12" width="12.1640625" style="56" customWidth="1"/>
    <col min="13" max="13" width="22.33203125" style="56" customWidth="1"/>
    <col min="14" max="14" width="12" style="56" customWidth="1"/>
    <col min="15" max="15" width="10.5" style="56" customWidth="1"/>
    <col min="16" max="16" width="15.33203125" style="56" customWidth="1"/>
    <col min="17" max="18" width="10.33203125" style="501"/>
    <col min="19" max="256" width="10.33203125" style="56"/>
    <col min="257" max="257" width="24.6640625" style="56" bestFit="1" customWidth="1"/>
    <col min="258" max="258" width="12" style="56" customWidth="1"/>
    <col min="259" max="259" width="13" style="56" bestFit="1" customWidth="1"/>
    <col min="260" max="260" width="13.33203125" style="56" bestFit="1" customWidth="1"/>
    <col min="261" max="261" width="14.6640625" style="56" customWidth="1"/>
    <col min="262" max="262" width="10.33203125" style="56"/>
    <col min="263" max="263" width="13.33203125" style="56" bestFit="1" customWidth="1"/>
    <col min="264" max="264" width="13.33203125" style="56" customWidth="1"/>
    <col min="265" max="265" width="12" style="56" customWidth="1"/>
    <col min="266" max="268" width="10.33203125" style="56"/>
    <col min="269" max="269" width="15" style="56" customWidth="1"/>
    <col min="270" max="270" width="12" style="56" customWidth="1"/>
    <col min="271" max="271" width="10.5" style="56" customWidth="1"/>
    <col min="272" max="272" width="28.6640625" style="56" bestFit="1" customWidth="1"/>
    <col min="273" max="512" width="10.33203125" style="56"/>
    <col min="513" max="513" width="24.6640625" style="56" bestFit="1" customWidth="1"/>
    <col min="514" max="514" width="12" style="56" customWidth="1"/>
    <col min="515" max="515" width="13" style="56" bestFit="1" customWidth="1"/>
    <col min="516" max="516" width="13.33203125" style="56" bestFit="1" customWidth="1"/>
    <col min="517" max="517" width="14.6640625" style="56" customWidth="1"/>
    <col min="518" max="518" width="10.33203125" style="56"/>
    <col min="519" max="519" width="13.33203125" style="56" bestFit="1" customWidth="1"/>
    <col min="520" max="520" width="13.33203125" style="56" customWidth="1"/>
    <col min="521" max="521" width="12" style="56" customWidth="1"/>
    <col min="522" max="524" width="10.33203125" style="56"/>
    <col min="525" max="525" width="15" style="56" customWidth="1"/>
    <col min="526" max="526" width="12" style="56" customWidth="1"/>
    <col min="527" max="527" width="10.5" style="56" customWidth="1"/>
    <col min="528" max="528" width="28.6640625" style="56" bestFit="1" customWidth="1"/>
    <col min="529" max="768" width="10.33203125" style="56"/>
    <col min="769" max="769" width="24.6640625" style="56" bestFit="1" customWidth="1"/>
    <col min="770" max="770" width="12" style="56" customWidth="1"/>
    <col min="771" max="771" width="13" style="56" bestFit="1" customWidth="1"/>
    <col min="772" max="772" width="13.33203125" style="56" bestFit="1" customWidth="1"/>
    <col min="773" max="773" width="14.6640625" style="56" customWidth="1"/>
    <col min="774" max="774" width="10.33203125" style="56"/>
    <col min="775" max="775" width="13.33203125" style="56" bestFit="1" customWidth="1"/>
    <col min="776" max="776" width="13.33203125" style="56" customWidth="1"/>
    <col min="777" max="777" width="12" style="56" customWidth="1"/>
    <col min="778" max="780" width="10.33203125" style="56"/>
    <col min="781" max="781" width="15" style="56" customWidth="1"/>
    <col min="782" max="782" width="12" style="56" customWidth="1"/>
    <col min="783" max="783" width="10.5" style="56" customWidth="1"/>
    <col min="784" max="784" width="28.6640625" style="56" bestFit="1" customWidth="1"/>
    <col min="785" max="1024" width="10.33203125" style="56"/>
    <col min="1025" max="1025" width="24.6640625" style="56" bestFit="1" customWidth="1"/>
    <col min="1026" max="1026" width="12" style="56" customWidth="1"/>
    <col min="1027" max="1027" width="13" style="56" bestFit="1" customWidth="1"/>
    <col min="1028" max="1028" width="13.33203125" style="56" bestFit="1" customWidth="1"/>
    <col min="1029" max="1029" width="14.6640625" style="56" customWidth="1"/>
    <col min="1030" max="1030" width="10.33203125" style="56"/>
    <col min="1031" max="1031" width="13.33203125" style="56" bestFit="1" customWidth="1"/>
    <col min="1032" max="1032" width="13.33203125" style="56" customWidth="1"/>
    <col min="1033" max="1033" width="12" style="56" customWidth="1"/>
    <col min="1034" max="1036" width="10.33203125" style="56"/>
    <col min="1037" max="1037" width="15" style="56" customWidth="1"/>
    <col min="1038" max="1038" width="12" style="56" customWidth="1"/>
    <col min="1039" max="1039" width="10.5" style="56" customWidth="1"/>
    <col min="1040" max="1040" width="28.6640625" style="56" bestFit="1" customWidth="1"/>
    <col min="1041" max="1280" width="10.33203125" style="56"/>
    <col min="1281" max="1281" width="24.6640625" style="56" bestFit="1" customWidth="1"/>
    <col min="1282" max="1282" width="12" style="56" customWidth="1"/>
    <col min="1283" max="1283" width="13" style="56" bestFit="1" customWidth="1"/>
    <col min="1284" max="1284" width="13.33203125" style="56" bestFit="1" customWidth="1"/>
    <col min="1285" max="1285" width="14.6640625" style="56" customWidth="1"/>
    <col min="1286" max="1286" width="10.33203125" style="56"/>
    <col min="1287" max="1287" width="13.33203125" style="56" bestFit="1" customWidth="1"/>
    <col min="1288" max="1288" width="13.33203125" style="56" customWidth="1"/>
    <col min="1289" max="1289" width="12" style="56" customWidth="1"/>
    <col min="1290" max="1292" width="10.33203125" style="56"/>
    <col min="1293" max="1293" width="15" style="56" customWidth="1"/>
    <col min="1294" max="1294" width="12" style="56" customWidth="1"/>
    <col min="1295" max="1295" width="10.5" style="56" customWidth="1"/>
    <col min="1296" max="1296" width="28.6640625" style="56" bestFit="1" customWidth="1"/>
    <col min="1297" max="1536" width="10.33203125" style="56"/>
    <col min="1537" max="1537" width="24.6640625" style="56" bestFit="1" customWidth="1"/>
    <col min="1538" max="1538" width="12" style="56" customWidth="1"/>
    <col min="1539" max="1539" width="13" style="56" bestFit="1" customWidth="1"/>
    <col min="1540" max="1540" width="13.33203125" style="56" bestFit="1" customWidth="1"/>
    <col min="1541" max="1541" width="14.6640625" style="56" customWidth="1"/>
    <col min="1542" max="1542" width="10.33203125" style="56"/>
    <col min="1543" max="1543" width="13.33203125" style="56" bestFit="1" customWidth="1"/>
    <col min="1544" max="1544" width="13.33203125" style="56" customWidth="1"/>
    <col min="1545" max="1545" width="12" style="56" customWidth="1"/>
    <col min="1546" max="1548" width="10.33203125" style="56"/>
    <col min="1549" max="1549" width="15" style="56" customWidth="1"/>
    <col min="1550" max="1550" width="12" style="56" customWidth="1"/>
    <col min="1551" max="1551" width="10.5" style="56" customWidth="1"/>
    <col min="1552" max="1552" width="28.6640625" style="56" bestFit="1" customWidth="1"/>
    <col min="1553" max="1792" width="10.33203125" style="56"/>
    <col min="1793" max="1793" width="24.6640625" style="56" bestFit="1" customWidth="1"/>
    <col min="1794" max="1794" width="12" style="56" customWidth="1"/>
    <col min="1795" max="1795" width="13" style="56" bestFit="1" customWidth="1"/>
    <col min="1796" max="1796" width="13.33203125" style="56" bestFit="1" customWidth="1"/>
    <col min="1797" max="1797" width="14.6640625" style="56" customWidth="1"/>
    <col min="1798" max="1798" width="10.33203125" style="56"/>
    <col min="1799" max="1799" width="13.33203125" style="56" bestFit="1" customWidth="1"/>
    <col min="1800" max="1800" width="13.33203125" style="56" customWidth="1"/>
    <col min="1801" max="1801" width="12" style="56" customWidth="1"/>
    <col min="1802" max="1804" width="10.33203125" style="56"/>
    <col min="1805" max="1805" width="15" style="56" customWidth="1"/>
    <col min="1806" max="1806" width="12" style="56" customWidth="1"/>
    <col min="1807" max="1807" width="10.5" style="56" customWidth="1"/>
    <col min="1808" max="1808" width="28.6640625" style="56" bestFit="1" customWidth="1"/>
    <col min="1809" max="2048" width="10.33203125" style="56"/>
    <col min="2049" max="2049" width="24.6640625" style="56" bestFit="1" customWidth="1"/>
    <col min="2050" max="2050" width="12" style="56" customWidth="1"/>
    <col min="2051" max="2051" width="13" style="56" bestFit="1" customWidth="1"/>
    <col min="2052" max="2052" width="13.33203125" style="56" bestFit="1" customWidth="1"/>
    <col min="2053" max="2053" width="14.6640625" style="56" customWidth="1"/>
    <col min="2054" max="2054" width="10.33203125" style="56"/>
    <col min="2055" max="2055" width="13.33203125" style="56" bestFit="1" customWidth="1"/>
    <col min="2056" max="2056" width="13.33203125" style="56" customWidth="1"/>
    <col min="2057" max="2057" width="12" style="56" customWidth="1"/>
    <col min="2058" max="2060" width="10.33203125" style="56"/>
    <col min="2061" max="2061" width="15" style="56" customWidth="1"/>
    <col min="2062" max="2062" width="12" style="56" customWidth="1"/>
    <col min="2063" max="2063" width="10.5" style="56" customWidth="1"/>
    <col min="2064" max="2064" width="28.6640625" style="56" bestFit="1" customWidth="1"/>
    <col min="2065" max="2304" width="10.33203125" style="56"/>
    <col min="2305" max="2305" width="24.6640625" style="56" bestFit="1" customWidth="1"/>
    <col min="2306" max="2306" width="12" style="56" customWidth="1"/>
    <col min="2307" max="2307" width="13" style="56" bestFit="1" customWidth="1"/>
    <col min="2308" max="2308" width="13.33203125" style="56" bestFit="1" customWidth="1"/>
    <col min="2309" max="2309" width="14.6640625" style="56" customWidth="1"/>
    <col min="2310" max="2310" width="10.33203125" style="56"/>
    <col min="2311" max="2311" width="13.33203125" style="56" bestFit="1" customWidth="1"/>
    <col min="2312" max="2312" width="13.33203125" style="56" customWidth="1"/>
    <col min="2313" max="2313" width="12" style="56" customWidth="1"/>
    <col min="2314" max="2316" width="10.33203125" style="56"/>
    <col min="2317" max="2317" width="15" style="56" customWidth="1"/>
    <col min="2318" max="2318" width="12" style="56" customWidth="1"/>
    <col min="2319" max="2319" width="10.5" style="56" customWidth="1"/>
    <col min="2320" max="2320" width="28.6640625" style="56" bestFit="1" customWidth="1"/>
    <col min="2321" max="2560" width="10.33203125" style="56"/>
    <col min="2561" max="2561" width="24.6640625" style="56" bestFit="1" customWidth="1"/>
    <col min="2562" max="2562" width="12" style="56" customWidth="1"/>
    <col min="2563" max="2563" width="13" style="56" bestFit="1" customWidth="1"/>
    <col min="2564" max="2564" width="13.33203125" style="56" bestFit="1" customWidth="1"/>
    <col min="2565" max="2565" width="14.6640625" style="56" customWidth="1"/>
    <col min="2566" max="2566" width="10.33203125" style="56"/>
    <col min="2567" max="2567" width="13.33203125" style="56" bestFit="1" customWidth="1"/>
    <col min="2568" max="2568" width="13.33203125" style="56" customWidth="1"/>
    <col min="2569" max="2569" width="12" style="56" customWidth="1"/>
    <col min="2570" max="2572" width="10.33203125" style="56"/>
    <col min="2573" max="2573" width="15" style="56" customWidth="1"/>
    <col min="2574" max="2574" width="12" style="56" customWidth="1"/>
    <col min="2575" max="2575" width="10.5" style="56" customWidth="1"/>
    <col min="2576" max="2576" width="28.6640625" style="56" bestFit="1" customWidth="1"/>
    <col min="2577" max="2816" width="10.33203125" style="56"/>
    <col min="2817" max="2817" width="24.6640625" style="56" bestFit="1" customWidth="1"/>
    <col min="2818" max="2818" width="12" style="56" customWidth="1"/>
    <col min="2819" max="2819" width="13" style="56" bestFit="1" customWidth="1"/>
    <col min="2820" max="2820" width="13.33203125" style="56" bestFit="1" customWidth="1"/>
    <col min="2821" max="2821" width="14.6640625" style="56" customWidth="1"/>
    <col min="2822" max="2822" width="10.33203125" style="56"/>
    <col min="2823" max="2823" width="13.33203125" style="56" bestFit="1" customWidth="1"/>
    <col min="2824" max="2824" width="13.33203125" style="56" customWidth="1"/>
    <col min="2825" max="2825" width="12" style="56" customWidth="1"/>
    <col min="2826" max="2828" width="10.33203125" style="56"/>
    <col min="2829" max="2829" width="15" style="56" customWidth="1"/>
    <col min="2830" max="2830" width="12" style="56" customWidth="1"/>
    <col min="2831" max="2831" width="10.5" style="56" customWidth="1"/>
    <col min="2832" max="2832" width="28.6640625" style="56" bestFit="1" customWidth="1"/>
    <col min="2833" max="3072" width="10.33203125" style="56"/>
    <col min="3073" max="3073" width="24.6640625" style="56" bestFit="1" customWidth="1"/>
    <col min="3074" max="3074" width="12" style="56" customWidth="1"/>
    <col min="3075" max="3075" width="13" style="56" bestFit="1" customWidth="1"/>
    <col min="3076" max="3076" width="13.33203125" style="56" bestFit="1" customWidth="1"/>
    <col min="3077" max="3077" width="14.6640625" style="56" customWidth="1"/>
    <col min="3078" max="3078" width="10.33203125" style="56"/>
    <col min="3079" max="3079" width="13.33203125" style="56" bestFit="1" customWidth="1"/>
    <col min="3080" max="3080" width="13.33203125" style="56" customWidth="1"/>
    <col min="3081" max="3081" width="12" style="56" customWidth="1"/>
    <col min="3082" max="3084" width="10.33203125" style="56"/>
    <col min="3085" max="3085" width="15" style="56" customWidth="1"/>
    <col min="3086" max="3086" width="12" style="56" customWidth="1"/>
    <col min="3087" max="3087" width="10.5" style="56" customWidth="1"/>
    <col min="3088" max="3088" width="28.6640625" style="56" bestFit="1" customWidth="1"/>
    <col min="3089" max="3328" width="10.33203125" style="56"/>
    <col min="3329" max="3329" width="24.6640625" style="56" bestFit="1" customWidth="1"/>
    <col min="3330" max="3330" width="12" style="56" customWidth="1"/>
    <col min="3331" max="3331" width="13" style="56" bestFit="1" customWidth="1"/>
    <col min="3332" max="3332" width="13.33203125" style="56" bestFit="1" customWidth="1"/>
    <col min="3333" max="3333" width="14.6640625" style="56" customWidth="1"/>
    <col min="3334" max="3334" width="10.33203125" style="56"/>
    <col min="3335" max="3335" width="13.33203125" style="56" bestFit="1" customWidth="1"/>
    <col min="3336" max="3336" width="13.33203125" style="56" customWidth="1"/>
    <col min="3337" max="3337" width="12" style="56" customWidth="1"/>
    <col min="3338" max="3340" width="10.33203125" style="56"/>
    <col min="3341" max="3341" width="15" style="56" customWidth="1"/>
    <col min="3342" max="3342" width="12" style="56" customWidth="1"/>
    <col min="3343" max="3343" width="10.5" style="56" customWidth="1"/>
    <col min="3344" max="3344" width="28.6640625" style="56" bestFit="1" customWidth="1"/>
    <col min="3345" max="3584" width="10.33203125" style="56"/>
    <col min="3585" max="3585" width="24.6640625" style="56" bestFit="1" customWidth="1"/>
    <col min="3586" max="3586" width="12" style="56" customWidth="1"/>
    <col min="3587" max="3587" width="13" style="56" bestFit="1" customWidth="1"/>
    <col min="3588" max="3588" width="13.33203125" style="56" bestFit="1" customWidth="1"/>
    <col min="3589" max="3589" width="14.6640625" style="56" customWidth="1"/>
    <col min="3590" max="3590" width="10.33203125" style="56"/>
    <col min="3591" max="3591" width="13.33203125" style="56" bestFit="1" customWidth="1"/>
    <col min="3592" max="3592" width="13.33203125" style="56" customWidth="1"/>
    <col min="3593" max="3593" width="12" style="56" customWidth="1"/>
    <col min="3594" max="3596" width="10.33203125" style="56"/>
    <col min="3597" max="3597" width="15" style="56" customWidth="1"/>
    <col min="3598" max="3598" width="12" style="56" customWidth="1"/>
    <col min="3599" max="3599" width="10.5" style="56" customWidth="1"/>
    <col min="3600" max="3600" width="28.6640625" style="56" bestFit="1" customWidth="1"/>
    <col min="3601" max="3840" width="10.33203125" style="56"/>
    <col min="3841" max="3841" width="24.6640625" style="56" bestFit="1" customWidth="1"/>
    <col min="3842" max="3842" width="12" style="56" customWidth="1"/>
    <col min="3843" max="3843" width="13" style="56" bestFit="1" customWidth="1"/>
    <col min="3844" max="3844" width="13.33203125" style="56" bestFit="1" customWidth="1"/>
    <col min="3845" max="3845" width="14.6640625" style="56" customWidth="1"/>
    <col min="3846" max="3846" width="10.33203125" style="56"/>
    <col min="3847" max="3847" width="13.33203125" style="56" bestFit="1" customWidth="1"/>
    <col min="3848" max="3848" width="13.33203125" style="56" customWidth="1"/>
    <col min="3849" max="3849" width="12" style="56" customWidth="1"/>
    <col min="3850" max="3852" width="10.33203125" style="56"/>
    <col min="3853" max="3853" width="15" style="56" customWidth="1"/>
    <col min="3854" max="3854" width="12" style="56" customWidth="1"/>
    <col min="3855" max="3855" width="10.5" style="56" customWidth="1"/>
    <col min="3856" max="3856" width="28.6640625" style="56" bestFit="1" customWidth="1"/>
    <col min="3857" max="4096" width="10.33203125" style="56"/>
    <col min="4097" max="4097" width="24.6640625" style="56" bestFit="1" customWidth="1"/>
    <col min="4098" max="4098" width="12" style="56" customWidth="1"/>
    <col min="4099" max="4099" width="13" style="56" bestFit="1" customWidth="1"/>
    <col min="4100" max="4100" width="13.33203125" style="56" bestFit="1" customWidth="1"/>
    <col min="4101" max="4101" width="14.6640625" style="56" customWidth="1"/>
    <col min="4102" max="4102" width="10.33203125" style="56"/>
    <col min="4103" max="4103" width="13.33203125" style="56" bestFit="1" customWidth="1"/>
    <col min="4104" max="4104" width="13.33203125" style="56" customWidth="1"/>
    <col min="4105" max="4105" width="12" style="56" customWidth="1"/>
    <col min="4106" max="4108" width="10.33203125" style="56"/>
    <col min="4109" max="4109" width="15" style="56" customWidth="1"/>
    <col min="4110" max="4110" width="12" style="56" customWidth="1"/>
    <col min="4111" max="4111" width="10.5" style="56" customWidth="1"/>
    <col min="4112" max="4112" width="28.6640625" style="56" bestFit="1" customWidth="1"/>
    <col min="4113" max="4352" width="10.33203125" style="56"/>
    <col min="4353" max="4353" width="24.6640625" style="56" bestFit="1" customWidth="1"/>
    <col min="4354" max="4354" width="12" style="56" customWidth="1"/>
    <col min="4355" max="4355" width="13" style="56" bestFit="1" customWidth="1"/>
    <col min="4356" max="4356" width="13.33203125" style="56" bestFit="1" customWidth="1"/>
    <col min="4357" max="4357" width="14.6640625" style="56" customWidth="1"/>
    <col min="4358" max="4358" width="10.33203125" style="56"/>
    <col min="4359" max="4359" width="13.33203125" style="56" bestFit="1" customWidth="1"/>
    <col min="4360" max="4360" width="13.33203125" style="56" customWidth="1"/>
    <col min="4361" max="4361" width="12" style="56" customWidth="1"/>
    <col min="4362" max="4364" width="10.33203125" style="56"/>
    <col min="4365" max="4365" width="15" style="56" customWidth="1"/>
    <col min="4366" max="4366" width="12" style="56" customWidth="1"/>
    <col min="4367" max="4367" width="10.5" style="56" customWidth="1"/>
    <col min="4368" max="4368" width="28.6640625" style="56" bestFit="1" customWidth="1"/>
    <col min="4369" max="4608" width="10.33203125" style="56"/>
    <col min="4609" max="4609" width="24.6640625" style="56" bestFit="1" customWidth="1"/>
    <col min="4610" max="4610" width="12" style="56" customWidth="1"/>
    <col min="4611" max="4611" width="13" style="56" bestFit="1" customWidth="1"/>
    <col min="4612" max="4612" width="13.33203125" style="56" bestFit="1" customWidth="1"/>
    <col min="4613" max="4613" width="14.6640625" style="56" customWidth="1"/>
    <col min="4614" max="4614" width="10.33203125" style="56"/>
    <col min="4615" max="4615" width="13.33203125" style="56" bestFit="1" customWidth="1"/>
    <col min="4616" max="4616" width="13.33203125" style="56" customWidth="1"/>
    <col min="4617" max="4617" width="12" style="56" customWidth="1"/>
    <col min="4618" max="4620" width="10.33203125" style="56"/>
    <col min="4621" max="4621" width="15" style="56" customWidth="1"/>
    <col min="4622" max="4622" width="12" style="56" customWidth="1"/>
    <col min="4623" max="4623" width="10.5" style="56" customWidth="1"/>
    <col min="4624" max="4624" width="28.6640625" style="56" bestFit="1" customWidth="1"/>
    <col min="4625" max="4864" width="10.33203125" style="56"/>
    <col min="4865" max="4865" width="24.6640625" style="56" bestFit="1" customWidth="1"/>
    <col min="4866" max="4866" width="12" style="56" customWidth="1"/>
    <col min="4867" max="4867" width="13" style="56" bestFit="1" customWidth="1"/>
    <col min="4868" max="4868" width="13.33203125" style="56" bestFit="1" customWidth="1"/>
    <col min="4869" max="4869" width="14.6640625" style="56" customWidth="1"/>
    <col min="4870" max="4870" width="10.33203125" style="56"/>
    <col min="4871" max="4871" width="13.33203125" style="56" bestFit="1" customWidth="1"/>
    <col min="4872" max="4872" width="13.33203125" style="56" customWidth="1"/>
    <col min="4873" max="4873" width="12" style="56" customWidth="1"/>
    <col min="4874" max="4876" width="10.33203125" style="56"/>
    <col min="4877" max="4877" width="15" style="56" customWidth="1"/>
    <col min="4878" max="4878" width="12" style="56" customWidth="1"/>
    <col min="4879" max="4879" width="10.5" style="56" customWidth="1"/>
    <col min="4880" max="4880" width="28.6640625" style="56" bestFit="1" customWidth="1"/>
    <col min="4881" max="5120" width="10.33203125" style="56"/>
    <col min="5121" max="5121" width="24.6640625" style="56" bestFit="1" customWidth="1"/>
    <col min="5122" max="5122" width="12" style="56" customWidth="1"/>
    <col min="5123" max="5123" width="13" style="56" bestFit="1" customWidth="1"/>
    <col min="5124" max="5124" width="13.33203125" style="56" bestFit="1" customWidth="1"/>
    <col min="5125" max="5125" width="14.6640625" style="56" customWidth="1"/>
    <col min="5126" max="5126" width="10.33203125" style="56"/>
    <col min="5127" max="5127" width="13.33203125" style="56" bestFit="1" customWidth="1"/>
    <col min="5128" max="5128" width="13.33203125" style="56" customWidth="1"/>
    <col min="5129" max="5129" width="12" style="56" customWidth="1"/>
    <col min="5130" max="5132" width="10.33203125" style="56"/>
    <col min="5133" max="5133" width="15" style="56" customWidth="1"/>
    <col min="5134" max="5134" width="12" style="56" customWidth="1"/>
    <col min="5135" max="5135" width="10.5" style="56" customWidth="1"/>
    <col min="5136" max="5136" width="28.6640625" style="56" bestFit="1" customWidth="1"/>
    <col min="5137" max="5376" width="10.33203125" style="56"/>
    <col min="5377" max="5377" width="24.6640625" style="56" bestFit="1" customWidth="1"/>
    <col min="5378" max="5378" width="12" style="56" customWidth="1"/>
    <col min="5379" max="5379" width="13" style="56" bestFit="1" customWidth="1"/>
    <col min="5380" max="5380" width="13.33203125" style="56" bestFit="1" customWidth="1"/>
    <col min="5381" max="5381" width="14.6640625" style="56" customWidth="1"/>
    <col min="5382" max="5382" width="10.33203125" style="56"/>
    <col min="5383" max="5383" width="13.33203125" style="56" bestFit="1" customWidth="1"/>
    <col min="5384" max="5384" width="13.33203125" style="56" customWidth="1"/>
    <col min="5385" max="5385" width="12" style="56" customWidth="1"/>
    <col min="5386" max="5388" width="10.33203125" style="56"/>
    <col min="5389" max="5389" width="15" style="56" customWidth="1"/>
    <col min="5390" max="5390" width="12" style="56" customWidth="1"/>
    <col min="5391" max="5391" width="10.5" style="56" customWidth="1"/>
    <col min="5392" max="5392" width="28.6640625" style="56" bestFit="1" customWidth="1"/>
    <col min="5393" max="5632" width="10.33203125" style="56"/>
    <col min="5633" max="5633" width="24.6640625" style="56" bestFit="1" customWidth="1"/>
    <col min="5634" max="5634" width="12" style="56" customWidth="1"/>
    <col min="5635" max="5635" width="13" style="56" bestFit="1" customWidth="1"/>
    <col min="5636" max="5636" width="13.33203125" style="56" bestFit="1" customWidth="1"/>
    <col min="5637" max="5637" width="14.6640625" style="56" customWidth="1"/>
    <col min="5638" max="5638" width="10.33203125" style="56"/>
    <col min="5639" max="5639" width="13.33203125" style="56" bestFit="1" customWidth="1"/>
    <col min="5640" max="5640" width="13.33203125" style="56" customWidth="1"/>
    <col min="5641" max="5641" width="12" style="56" customWidth="1"/>
    <col min="5642" max="5644" width="10.33203125" style="56"/>
    <col min="5645" max="5645" width="15" style="56" customWidth="1"/>
    <col min="5646" max="5646" width="12" style="56" customWidth="1"/>
    <col min="5647" max="5647" width="10.5" style="56" customWidth="1"/>
    <col min="5648" max="5648" width="28.6640625" style="56" bestFit="1" customWidth="1"/>
    <col min="5649" max="5888" width="10.33203125" style="56"/>
    <col min="5889" max="5889" width="24.6640625" style="56" bestFit="1" customWidth="1"/>
    <col min="5890" max="5890" width="12" style="56" customWidth="1"/>
    <col min="5891" max="5891" width="13" style="56" bestFit="1" customWidth="1"/>
    <col min="5892" max="5892" width="13.33203125" style="56" bestFit="1" customWidth="1"/>
    <col min="5893" max="5893" width="14.6640625" style="56" customWidth="1"/>
    <col min="5894" max="5894" width="10.33203125" style="56"/>
    <col min="5895" max="5895" width="13.33203125" style="56" bestFit="1" customWidth="1"/>
    <col min="5896" max="5896" width="13.33203125" style="56" customWidth="1"/>
    <col min="5897" max="5897" width="12" style="56" customWidth="1"/>
    <col min="5898" max="5900" width="10.33203125" style="56"/>
    <col min="5901" max="5901" width="15" style="56" customWidth="1"/>
    <col min="5902" max="5902" width="12" style="56" customWidth="1"/>
    <col min="5903" max="5903" width="10.5" style="56" customWidth="1"/>
    <col min="5904" max="5904" width="28.6640625" style="56" bestFit="1" customWidth="1"/>
    <col min="5905" max="6144" width="10.33203125" style="56"/>
    <col min="6145" max="6145" width="24.6640625" style="56" bestFit="1" customWidth="1"/>
    <col min="6146" max="6146" width="12" style="56" customWidth="1"/>
    <col min="6147" max="6147" width="13" style="56" bestFit="1" customWidth="1"/>
    <col min="6148" max="6148" width="13.33203125" style="56" bestFit="1" customWidth="1"/>
    <col min="6149" max="6149" width="14.6640625" style="56" customWidth="1"/>
    <col min="6150" max="6150" width="10.33203125" style="56"/>
    <col min="6151" max="6151" width="13.33203125" style="56" bestFit="1" customWidth="1"/>
    <col min="6152" max="6152" width="13.33203125" style="56" customWidth="1"/>
    <col min="6153" max="6153" width="12" style="56" customWidth="1"/>
    <col min="6154" max="6156" width="10.33203125" style="56"/>
    <col min="6157" max="6157" width="15" style="56" customWidth="1"/>
    <col min="6158" max="6158" width="12" style="56" customWidth="1"/>
    <col min="6159" max="6159" width="10.5" style="56" customWidth="1"/>
    <col min="6160" max="6160" width="28.6640625" style="56" bestFit="1" customWidth="1"/>
    <col min="6161" max="6400" width="10.33203125" style="56"/>
    <col min="6401" max="6401" width="24.6640625" style="56" bestFit="1" customWidth="1"/>
    <col min="6402" max="6402" width="12" style="56" customWidth="1"/>
    <col min="6403" max="6403" width="13" style="56" bestFit="1" customWidth="1"/>
    <col min="6404" max="6404" width="13.33203125" style="56" bestFit="1" customWidth="1"/>
    <col min="6405" max="6405" width="14.6640625" style="56" customWidth="1"/>
    <col min="6406" max="6406" width="10.33203125" style="56"/>
    <col min="6407" max="6407" width="13.33203125" style="56" bestFit="1" customWidth="1"/>
    <col min="6408" max="6408" width="13.33203125" style="56" customWidth="1"/>
    <col min="6409" max="6409" width="12" style="56" customWidth="1"/>
    <col min="6410" max="6412" width="10.33203125" style="56"/>
    <col min="6413" max="6413" width="15" style="56" customWidth="1"/>
    <col min="6414" max="6414" width="12" style="56" customWidth="1"/>
    <col min="6415" max="6415" width="10.5" style="56" customWidth="1"/>
    <col min="6416" max="6416" width="28.6640625" style="56" bestFit="1" customWidth="1"/>
    <col min="6417" max="6656" width="10.33203125" style="56"/>
    <col min="6657" max="6657" width="24.6640625" style="56" bestFit="1" customWidth="1"/>
    <col min="6658" max="6658" width="12" style="56" customWidth="1"/>
    <col min="6659" max="6659" width="13" style="56" bestFit="1" customWidth="1"/>
    <col min="6660" max="6660" width="13.33203125" style="56" bestFit="1" customWidth="1"/>
    <col min="6661" max="6661" width="14.6640625" style="56" customWidth="1"/>
    <col min="6662" max="6662" width="10.33203125" style="56"/>
    <col min="6663" max="6663" width="13.33203125" style="56" bestFit="1" customWidth="1"/>
    <col min="6664" max="6664" width="13.33203125" style="56" customWidth="1"/>
    <col min="6665" max="6665" width="12" style="56" customWidth="1"/>
    <col min="6666" max="6668" width="10.33203125" style="56"/>
    <col min="6669" max="6669" width="15" style="56" customWidth="1"/>
    <col min="6670" max="6670" width="12" style="56" customWidth="1"/>
    <col min="6671" max="6671" width="10.5" style="56" customWidth="1"/>
    <col min="6672" max="6672" width="28.6640625" style="56" bestFit="1" customWidth="1"/>
    <col min="6673" max="6912" width="10.33203125" style="56"/>
    <col min="6913" max="6913" width="24.6640625" style="56" bestFit="1" customWidth="1"/>
    <col min="6914" max="6914" width="12" style="56" customWidth="1"/>
    <col min="6915" max="6915" width="13" style="56" bestFit="1" customWidth="1"/>
    <col min="6916" max="6916" width="13.33203125" style="56" bestFit="1" customWidth="1"/>
    <col min="6917" max="6917" width="14.6640625" style="56" customWidth="1"/>
    <col min="6918" max="6918" width="10.33203125" style="56"/>
    <col min="6919" max="6919" width="13.33203125" style="56" bestFit="1" customWidth="1"/>
    <col min="6920" max="6920" width="13.33203125" style="56" customWidth="1"/>
    <col min="6921" max="6921" width="12" style="56" customWidth="1"/>
    <col min="6922" max="6924" width="10.33203125" style="56"/>
    <col min="6925" max="6925" width="15" style="56" customWidth="1"/>
    <col min="6926" max="6926" width="12" style="56" customWidth="1"/>
    <col min="6927" max="6927" width="10.5" style="56" customWidth="1"/>
    <col min="6928" max="6928" width="28.6640625" style="56" bestFit="1" customWidth="1"/>
    <col min="6929" max="7168" width="10.33203125" style="56"/>
    <col min="7169" max="7169" width="24.6640625" style="56" bestFit="1" customWidth="1"/>
    <col min="7170" max="7170" width="12" style="56" customWidth="1"/>
    <col min="7171" max="7171" width="13" style="56" bestFit="1" customWidth="1"/>
    <col min="7172" max="7172" width="13.33203125" style="56" bestFit="1" customWidth="1"/>
    <col min="7173" max="7173" width="14.6640625" style="56" customWidth="1"/>
    <col min="7174" max="7174" width="10.33203125" style="56"/>
    <col min="7175" max="7175" width="13.33203125" style="56" bestFit="1" customWidth="1"/>
    <col min="7176" max="7176" width="13.33203125" style="56" customWidth="1"/>
    <col min="7177" max="7177" width="12" style="56" customWidth="1"/>
    <col min="7178" max="7180" width="10.33203125" style="56"/>
    <col min="7181" max="7181" width="15" style="56" customWidth="1"/>
    <col min="7182" max="7182" width="12" style="56" customWidth="1"/>
    <col min="7183" max="7183" width="10.5" style="56" customWidth="1"/>
    <col min="7184" max="7184" width="28.6640625" style="56" bestFit="1" customWidth="1"/>
    <col min="7185" max="7424" width="10.33203125" style="56"/>
    <col min="7425" max="7425" width="24.6640625" style="56" bestFit="1" customWidth="1"/>
    <col min="7426" max="7426" width="12" style="56" customWidth="1"/>
    <col min="7427" max="7427" width="13" style="56" bestFit="1" customWidth="1"/>
    <col min="7428" max="7428" width="13.33203125" style="56" bestFit="1" customWidth="1"/>
    <col min="7429" max="7429" width="14.6640625" style="56" customWidth="1"/>
    <col min="7430" max="7430" width="10.33203125" style="56"/>
    <col min="7431" max="7431" width="13.33203125" style="56" bestFit="1" customWidth="1"/>
    <col min="7432" max="7432" width="13.33203125" style="56" customWidth="1"/>
    <col min="7433" max="7433" width="12" style="56" customWidth="1"/>
    <col min="7434" max="7436" width="10.33203125" style="56"/>
    <col min="7437" max="7437" width="15" style="56" customWidth="1"/>
    <col min="7438" max="7438" width="12" style="56" customWidth="1"/>
    <col min="7439" max="7439" width="10.5" style="56" customWidth="1"/>
    <col min="7440" max="7440" width="28.6640625" style="56" bestFit="1" customWidth="1"/>
    <col min="7441" max="7680" width="10.33203125" style="56"/>
    <col min="7681" max="7681" width="24.6640625" style="56" bestFit="1" customWidth="1"/>
    <col min="7682" max="7682" width="12" style="56" customWidth="1"/>
    <col min="7683" max="7683" width="13" style="56" bestFit="1" customWidth="1"/>
    <col min="7684" max="7684" width="13.33203125" style="56" bestFit="1" customWidth="1"/>
    <col min="7685" max="7685" width="14.6640625" style="56" customWidth="1"/>
    <col min="7686" max="7686" width="10.33203125" style="56"/>
    <col min="7687" max="7687" width="13.33203125" style="56" bestFit="1" customWidth="1"/>
    <col min="7688" max="7688" width="13.33203125" style="56" customWidth="1"/>
    <col min="7689" max="7689" width="12" style="56" customWidth="1"/>
    <col min="7690" max="7692" width="10.33203125" style="56"/>
    <col min="7693" max="7693" width="15" style="56" customWidth="1"/>
    <col min="7694" max="7694" width="12" style="56" customWidth="1"/>
    <col min="7695" max="7695" width="10.5" style="56" customWidth="1"/>
    <col min="7696" max="7696" width="28.6640625" style="56" bestFit="1" customWidth="1"/>
    <col min="7697" max="7936" width="10.33203125" style="56"/>
    <col min="7937" max="7937" width="24.6640625" style="56" bestFit="1" customWidth="1"/>
    <col min="7938" max="7938" width="12" style="56" customWidth="1"/>
    <col min="7939" max="7939" width="13" style="56" bestFit="1" customWidth="1"/>
    <col min="7940" max="7940" width="13.33203125" style="56" bestFit="1" customWidth="1"/>
    <col min="7941" max="7941" width="14.6640625" style="56" customWidth="1"/>
    <col min="7942" max="7942" width="10.33203125" style="56"/>
    <col min="7943" max="7943" width="13.33203125" style="56" bestFit="1" customWidth="1"/>
    <col min="7944" max="7944" width="13.33203125" style="56" customWidth="1"/>
    <col min="7945" max="7945" width="12" style="56" customWidth="1"/>
    <col min="7946" max="7948" width="10.33203125" style="56"/>
    <col min="7949" max="7949" width="15" style="56" customWidth="1"/>
    <col min="7950" max="7950" width="12" style="56" customWidth="1"/>
    <col min="7951" max="7951" width="10.5" style="56" customWidth="1"/>
    <col min="7952" max="7952" width="28.6640625" style="56" bestFit="1" customWidth="1"/>
    <col min="7953" max="8192" width="10.33203125" style="56"/>
    <col min="8193" max="8193" width="24.6640625" style="56" bestFit="1" customWidth="1"/>
    <col min="8194" max="8194" width="12" style="56" customWidth="1"/>
    <col min="8195" max="8195" width="13" style="56" bestFit="1" customWidth="1"/>
    <col min="8196" max="8196" width="13.33203125" style="56" bestFit="1" customWidth="1"/>
    <col min="8197" max="8197" width="14.6640625" style="56" customWidth="1"/>
    <col min="8198" max="8198" width="10.33203125" style="56"/>
    <col min="8199" max="8199" width="13.33203125" style="56" bestFit="1" customWidth="1"/>
    <col min="8200" max="8200" width="13.33203125" style="56" customWidth="1"/>
    <col min="8201" max="8201" width="12" style="56" customWidth="1"/>
    <col min="8202" max="8204" width="10.33203125" style="56"/>
    <col min="8205" max="8205" width="15" style="56" customWidth="1"/>
    <col min="8206" max="8206" width="12" style="56" customWidth="1"/>
    <col min="8207" max="8207" width="10.5" style="56" customWidth="1"/>
    <col min="8208" max="8208" width="28.6640625" style="56" bestFit="1" customWidth="1"/>
    <col min="8209" max="8448" width="10.33203125" style="56"/>
    <col min="8449" max="8449" width="24.6640625" style="56" bestFit="1" customWidth="1"/>
    <col min="8450" max="8450" width="12" style="56" customWidth="1"/>
    <col min="8451" max="8451" width="13" style="56" bestFit="1" customWidth="1"/>
    <col min="8452" max="8452" width="13.33203125" style="56" bestFit="1" customWidth="1"/>
    <col min="8453" max="8453" width="14.6640625" style="56" customWidth="1"/>
    <col min="8454" max="8454" width="10.33203125" style="56"/>
    <col min="8455" max="8455" width="13.33203125" style="56" bestFit="1" customWidth="1"/>
    <col min="8456" max="8456" width="13.33203125" style="56" customWidth="1"/>
    <col min="8457" max="8457" width="12" style="56" customWidth="1"/>
    <col min="8458" max="8460" width="10.33203125" style="56"/>
    <col min="8461" max="8461" width="15" style="56" customWidth="1"/>
    <col min="8462" max="8462" width="12" style="56" customWidth="1"/>
    <col min="8463" max="8463" width="10.5" style="56" customWidth="1"/>
    <col min="8464" max="8464" width="28.6640625" style="56" bestFit="1" customWidth="1"/>
    <col min="8465" max="8704" width="10.33203125" style="56"/>
    <col min="8705" max="8705" width="24.6640625" style="56" bestFit="1" customWidth="1"/>
    <col min="8706" max="8706" width="12" style="56" customWidth="1"/>
    <col min="8707" max="8707" width="13" style="56" bestFit="1" customWidth="1"/>
    <col min="8708" max="8708" width="13.33203125" style="56" bestFit="1" customWidth="1"/>
    <col min="8709" max="8709" width="14.6640625" style="56" customWidth="1"/>
    <col min="8710" max="8710" width="10.33203125" style="56"/>
    <col min="8711" max="8711" width="13.33203125" style="56" bestFit="1" customWidth="1"/>
    <col min="8712" max="8712" width="13.33203125" style="56" customWidth="1"/>
    <col min="8713" max="8713" width="12" style="56" customWidth="1"/>
    <col min="8714" max="8716" width="10.33203125" style="56"/>
    <col min="8717" max="8717" width="15" style="56" customWidth="1"/>
    <col min="8718" max="8718" width="12" style="56" customWidth="1"/>
    <col min="8719" max="8719" width="10.5" style="56" customWidth="1"/>
    <col min="8720" max="8720" width="28.6640625" style="56" bestFit="1" customWidth="1"/>
    <col min="8721" max="8960" width="10.33203125" style="56"/>
    <col min="8961" max="8961" width="24.6640625" style="56" bestFit="1" customWidth="1"/>
    <col min="8962" max="8962" width="12" style="56" customWidth="1"/>
    <col min="8963" max="8963" width="13" style="56" bestFit="1" customWidth="1"/>
    <col min="8964" max="8964" width="13.33203125" style="56" bestFit="1" customWidth="1"/>
    <col min="8965" max="8965" width="14.6640625" style="56" customWidth="1"/>
    <col min="8966" max="8966" width="10.33203125" style="56"/>
    <col min="8967" max="8967" width="13.33203125" style="56" bestFit="1" customWidth="1"/>
    <col min="8968" max="8968" width="13.33203125" style="56" customWidth="1"/>
    <col min="8969" max="8969" width="12" style="56" customWidth="1"/>
    <col min="8970" max="8972" width="10.33203125" style="56"/>
    <col min="8973" max="8973" width="15" style="56" customWidth="1"/>
    <col min="8974" max="8974" width="12" style="56" customWidth="1"/>
    <col min="8975" max="8975" width="10.5" style="56" customWidth="1"/>
    <col min="8976" max="8976" width="28.6640625" style="56" bestFit="1" customWidth="1"/>
    <col min="8977" max="9216" width="10.33203125" style="56"/>
    <col min="9217" max="9217" width="24.6640625" style="56" bestFit="1" customWidth="1"/>
    <col min="9218" max="9218" width="12" style="56" customWidth="1"/>
    <col min="9219" max="9219" width="13" style="56" bestFit="1" customWidth="1"/>
    <col min="9220" max="9220" width="13.33203125" style="56" bestFit="1" customWidth="1"/>
    <col min="9221" max="9221" width="14.6640625" style="56" customWidth="1"/>
    <col min="9222" max="9222" width="10.33203125" style="56"/>
    <col min="9223" max="9223" width="13.33203125" style="56" bestFit="1" customWidth="1"/>
    <col min="9224" max="9224" width="13.33203125" style="56" customWidth="1"/>
    <col min="9225" max="9225" width="12" style="56" customWidth="1"/>
    <col min="9226" max="9228" width="10.33203125" style="56"/>
    <col min="9229" max="9229" width="15" style="56" customWidth="1"/>
    <col min="9230" max="9230" width="12" style="56" customWidth="1"/>
    <col min="9231" max="9231" width="10.5" style="56" customWidth="1"/>
    <col min="9232" max="9232" width="28.6640625" style="56" bestFit="1" customWidth="1"/>
    <col min="9233" max="9472" width="10.33203125" style="56"/>
    <col min="9473" max="9473" width="24.6640625" style="56" bestFit="1" customWidth="1"/>
    <col min="9474" max="9474" width="12" style="56" customWidth="1"/>
    <col min="9475" max="9475" width="13" style="56" bestFit="1" customWidth="1"/>
    <col min="9476" max="9476" width="13.33203125" style="56" bestFit="1" customWidth="1"/>
    <col min="9477" max="9477" width="14.6640625" style="56" customWidth="1"/>
    <col min="9478" max="9478" width="10.33203125" style="56"/>
    <col min="9479" max="9479" width="13.33203125" style="56" bestFit="1" customWidth="1"/>
    <col min="9480" max="9480" width="13.33203125" style="56" customWidth="1"/>
    <col min="9481" max="9481" width="12" style="56" customWidth="1"/>
    <col min="9482" max="9484" width="10.33203125" style="56"/>
    <col min="9485" max="9485" width="15" style="56" customWidth="1"/>
    <col min="9486" max="9486" width="12" style="56" customWidth="1"/>
    <col min="9487" max="9487" width="10.5" style="56" customWidth="1"/>
    <col min="9488" max="9488" width="28.6640625" style="56" bestFit="1" customWidth="1"/>
    <col min="9489" max="9728" width="10.33203125" style="56"/>
    <col min="9729" max="9729" width="24.6640625" style="56" bestFit="1" customWidth="1"/>
    <col min="9730" max="9730" width="12" style="56" customWidth="1"/>
    <col min="9731" max="9731" width="13" style="56" bestFit="1" customWidth="1"/>
    <col min="9732" max="9732" width="13.33203125" style="56" bestFit="1" customWidth="1"/>
    <col min="9733" max="9733" width="14.6640625" style="56" customWidth="1"/>
    <col min="9734" max="9734" width="10.33203125" style="56"/>
    <col min="9735" max="9735" width="13.33203125" style="56" bestFit="1" customWidth="1"/>
    <col min="9736" max="9736" width="13.33203125" style="56" customWidth="1"/>
    <col min="9737" max="9737" width="12" style="56" customWidth="1"/>
    <col min="9738" max="9740" width="10.33203125" style="56"/>
    <col min="9741" max="9741" width="15" style="56" customWidth="1"/>
    <col min="9742" max="9742" width="12" style="56" customWidth="1"/>
    <col min="9743" max="9743" width="10.5" style="56" customWidth="1"/>
    <col min="9744" max="9744" width="28.6640625" style="56" bestFit="1" customWidth="1"/>
    <col min="9745" max="9984" width="10.33203125" style="56"/>
    <col min="9985" max="9985" width="24.6640625" style="56" bestFit="1" customWidth="1"/>
    <col min="9986" max="9986" width="12" style="56" customWidth="1"/>
    <col min="9987" max="9987" width="13" style="56" bestFit="1" customWidth="1"/>
    <col min="9988" max="9988" width="13.33203125" style="56" bestFit="1" customWidth="1"/>
    <col min="9989" max="9989" width="14.6640625" style="56" customWidth="1"/>
    <col min="9990" max="9990" width="10.33203125" style="56"/>
    <col min="9991" max="9991" width="13.33203125" style="56" bestFit="1" customWidth="1"/>
    <col min="9992" max="9992" width="13.33203125" style="56" customWidth="1"/>
    <col min="9993" max="9993" width="12" style="56" customWidth="1"/>
    <col min="9994" max="9996" width="10.33203125" style="56"/>
    <col min="9997" max="9997" width="15" style="56" customWidth="1"/>
    <col min="9998" max="9998" width="12" style="56" customWidth="1"/>
    <col min="9999" max="9999" width="10.5" style="56" customWidth="1"/>
    <col min="10000" max="10000" width="28.6640625" style="56" bestFit="1" customWidth="1"/>
    <col min="10001" max="10240" width="10.33203125" style="56"/>
    <col min="10241" max="10241" width="24.6640625" style="56" bestFit="1" customWidth="1"/>
    <col min="10242" max="10242" width="12" style="56" customWidth="1"/>
    <col min="10243" max="10243" width="13" style="56" bestFit="1" customWidth="1"/>
    <col min="10244" max="10244" width="13.33203125" style="56" bestFit="1" customWidth="1"/>
    <col min="10245" max="10245" width="14.6640625" style="56" customWidth="1"/>
    <col min="10246" max="10246" width="10.33203125" style="56"/>
    <col min="10247" max="10247" width="13.33203125" style="56" bestFit="1" customWidth="1"/>
    <col min="10248" max="10248" width="13.33203125" style="56" customWidth="1"/>
    <col min="10249" max="10249" width="12" style="56" customWidth="1"/>
    <col min="10250" max="10252" width="10.33203125" style="56"/>
    <col min="10253" max="10253" width="15" style="56" customWidth="1"/>
    <col min="10254" max="10254" width="12" style="56" customWidth="1"/>
    <col min="10255" max="10255" width="10.5" style="56" customWidth="1"/>
    <col min="10256" max="10256" width="28.6640625" style="56" bestFit="1" customWidth="1"/>
    <col min="10257" max="10496" width="10.33203125" style="56"/>
    <col min="10497" max="10497" width="24.6640625" style="56" bestFit="1" customWidth="1"/>
    <col min="10498" max="10498" width="12" style="56" customWidth="1"/>
    <col min="10499" max="10499" width="13" style="56" bestFit="1" customWidth="1"/>
    <col min="10500" max="10500" width="13.33203125" style="56" bestFit="1" customWidth="1"/>
    <col min="10501" max="10501" width="14.6640625" style="56" customWidth="1"/>
    <col min="10502" max="10502" width="10.33203125" style="56"/>
    <col min="10503" max="10503" width="13.33203125" style="56" bestFit="1" customWidth="1"/>
    <col min="10504" max="10504" width="13.33203125" style="56" customWidth="1"/>
    <col min="10505" max="10505" width="12" style="56" customWidth="1"/>
    <col min="10506" max="10508" width="10.33203125" style="56"/>
    <col min="10509" max="10509" width="15" style="56" customWidth="1"/>
    <col min="10510" max="10510" width="12" style="56" customWidth="1"/>
    <col min="10511" max="10511" width="10.5" style="56" customWidth="1"/>
    <col min="10512" max="10512" width="28.6640625" style="56" bestFit="1" customWidth="1"/>
    <col min="10513" max="10752" width="10.33203125" style="56"/>
    <col min="10753" max="10753" width="24.6640625" style="56" bestFit="1" customWidth="1"/>
    <col min="10754" max="10754" width="12" style="56" customWidth="1"/>
    <col min="10755" max="10755" width="13" style="56" bestFit="1" customWidth="1"/>
    <col min="10756" max="10756" width="13.33203125" style="56" bestFit="1" customWidth="1"/>
    <col min="10757" max="10757" width="14.6640625" style="56" customWidth="1"/>
    <col min="10758" max="10758" width="10.33203125" style="56"/>
    <col min="10759" max="10759" width="13.33203125" style="56" bestFit="1" customWidth="1"/>
    <col min="10760" max="10760" width="13.33203125" style="56" customWidth="1"/>
    <col min="10761" max="10761" width="12" style="56" customWidth="1"/>
    <col min="10762" max="10764" width="10.33203125" style="56"/>
    <col min="10765" max="10765" width="15" style="56" customWidth="1"/>
    <col min="10766" max="10766" width="12" style="56" customWidth="1"/>
    <col min="10767" max="10767" width="10.5" style="56" customWidth="1"/>
    <col min="10768" max="10768" width="28.6640625" style="56" bestFit="1" customWidth="1"/>
    <col min="10769" max="11008" width="10.33203125" style="56"/>
    <col min="11009" max="11009" width="24.6640625" style="56" bestFit="1" customWidth="1"/>
    <col min="11010" max="11010" width="12" style="56" customWidth="1"/>
    <col min="11011" max="11011" width="13" style="56" bestFit="1" customWidth="1"/>
    <col min="11012" max="11012" width="13.33203125" style="56" bestFit="1" customWidth="1"/>
    <col min="11013" max="11013" width="14.6640625" style="56" customWidth="1"/>
    <col min="11014" max="11014" width="10.33203125" style="56"/>
    <col min="11015" max="11015" width="13.33203125" style="56" bestFit="1" customWidth="1"/>
    <col min="11016" max="11016" width="13.33203125" style="56" customWidth="1"/>
    <col min="11017" max="11017" width="12" style="56" customWidth="1"/>
    <col min="11018" max="11020" width="10.33203125" style="56"/>
    <col min="11021" max="11021" width="15" style="56" customWidth="1"/>
    <col min="11022" max="11022" width="12" style="56" customWidth="1"/>
    <col min="11023" max="11023" width="10.5" style="56" customWidth="1"/>
    <col min="11024" max="11024" width="28.6640625" style="56" bestFit="1" customWidth="1"/>
    <col min="11025" max="11264" width="10.33203125" style="56"/>
    <col min="11265" max="11265" width="24.6640625" style="56" bestFit="1" customWidth="1"/>
    <col min="11266" max="11266" width="12" style="56" customWidth="1"/>
    <col min="11267" max="11267" width="13" style="56" bestFit="1" customWidth="1"/>
    <col min="11268" max="11268" width="13.33203125" style="56" bestFit="1" customWidth="1"/>
    <col min="11269" max="11269" width="14.6640625" style="56" customWidth="1"/>
    <col min="11270" max="11270" width="10.33203125" style="56"/>
    <col min="11271" max="11271" width="13.33203125" style="56" bestFit="1" customWidth="1"/>
    <col min="11272" max="11272" width="13.33203125" style="56" customWidth="1"/>
    <col min="11273" max="11273" width="12" style="56" customWidth="1"/>
    <col min="11274" max="11276" width="10.33203125" style="56"/>
    <col min="11277" max="11277" width="15" style="56" customWidth="1"/>
    <col min="11278" max="11278" width="12" style="56" customWidth="1"/>
    <col min="11279" max="11279" width="10.5" style="56" customWidth="1"/>
    <col min="11280" max="11280" width="28.6640625" style="56" bestFit="1" customWidth="1"/>
    <col min="11281" max="11520" width="10.33203125" style="56"/>
    <col min="11521" max="11521" width="24.6640625" style="56" bestFit="1" customWidth="1"/>
    <col min="11522" max="11522" width="12" style="56" customWidth="1"/>
    <col min="11523" max="11523" width="13" style="56" bestFit="1" customWidth="1"/>
    <col min="11524" max="11524" width="13.33203125" style="56" bestFit="1" customWidth="1"/>
    <col min="11525" max="11525" width="14.6640625" style="56" customWidth="1"/>
    <col min="11526" max="11526" width="10.33203125" style="56"/>
    <col min="11527" max="11527" width="13.33203125" style="56" bestFit="1" customWidth="1"/>
    <col min="11528" max="11528" width="13.33203125" style="56" customWidth="1"/>
    <col min="11529" max="11529" width="12" style="56" customWidth="1"/>
    <col min="11530" max="11532" width="10.33203125" style="56"/>
    <col min="11533" max="11533" width="15" style="56" customWidth="1"/>
    <col min="11534" max="11534" width="12" style="56" customWidth="1"/>
    <col min="11535" max="11535" width="10.5" style="56" customWidth="1"/>
    <col min="11536" max="11536" width="28.6640625" style="56" bestFit="1" customWidth="1"/>
    <col min="11537" max="11776" width="10.33203125" style="56"/>
    <col min="11777" max="11777" width="24.6640625" style="56" bestFit="1" customWidth="1"/>
    <col min="11778" max="11778" width="12" style="56" customWidth="1"/>
    <col min="11779" max="11779" width="13" style="56" bestFit="1" customWidth="1"/>
    <col min="11780" max="11780" width="13.33203125" style="56" bestFit="1" customWidth="1"/>
    <col min="11781" max="11781" width="14.6640625" style="56" customWidth="1"/>
    <col min="11782" max="11782" width="10.33203125" style="56"/>
    <col min="11783" max="11783" width="13.33203125" style="56" bestFit="1" customWidth="1"/>
    <col min="11784" max="11784" width="13.33203125" style="56" customWidth="1"/>
    <col min="11785" max="11785" width="12" style="56" customWidth="1"/>
    <col min="11786" max="11788" width="10.33203125" style="56"/>
    <col min="11789" max="11789" width="15" style="56" customWidth="1"/>
    <col min="11790" max="11790" width="12" style="56" customWidth="1"/>
    <col min="11791" max="11791" width="10.5" style="56" customWidth="1"/>
    <col min="11792" max="11792" width="28.6640625" style="56" bestFit="1" customWidth="1"/>
    <col min="11793" max="12032" width="10.33203125" style="56"/>
    <col min="12033" max="12033" width="24.6640625" style="56" bestFit="1" customWidth="1"/>
    <col min="12034" max="12034" width="12" style="56" customWidth="1"/>
    <col min="12035" max="12035" width="13" style="56" bestFit="1" customWidth="1"/>
    <col min="12036" max="12036" width="13.33203125" style="56" bestFit="1" customWidth="1"/>
    <col min="12037" max="12037" width="14.6640625" style="56" customWidth="1"/>
    <col min="12038" max="12038" width="10.33203125" style="56"/>
    <col min="12039" max="12039" width="13.33203125" style="56" bestFit="1" customWidth="1"/>
    <col min="12040" max="12040" width="13.33203125" style="56" customWidth="1"/>
    <col min="12041" max="12041" width="12" style="56" customWidth="1"/>
    <col min="12042" max="12044" width="10.33203125" style="56"/>
    <col min="12045" max="12045" width="15" style="56" customWidth="1"/>
    <col min="12046" max="12046" width="12" style="56" customWidth="1"/>
    <col min="12047" max="12047" width="10.5" style="56" customWidth="1"/>
    <col min="12048" max="12048" width="28.6640625" style="56" bestFit="1" customWidth="1"/>
    <col min="12049" max="12288" width="10.33203125" style="56"/>
    <col min="12289" max="12289" width="24.6640625" style="56" bestFit="1" customWidth="1"/>
    <col min="12290" max="12290" width="12" style="56" customWidth="1"/>
    <col min="12291" max="12291" width="13" style="56" bestFit="1" customWidth="1"/>
    <col min="12292" max="12292" width="13.33203125" style="56" bestFit="1" customWidth="1"/>
    <col min="12293" max="12293" width="14.6640625" style="56" customWidth="1"/>
    <col min="12294" max="12294" width="10.33203125" style="56"/>
    <col min="12295" max="12295" width="13.33203125" style="56" bestFit="1" customWidth="1"/>
    <col min="12296" max="12296" width="13.33203125" style="56" customWidth="1"/>
    <col min="12297" max="12297" width="12" style="56" customWidth="1"/>
    <col min="12298" max="12300" width="10.33203125" style="56"/>
    <col min="12301" max="12301" width="15" style="56" customWidth="1"/>
    <col min="12302" max="12302" width="12" style="56" customWidth="1"/>
    <col min="12303" max="12303" width="10.5" style="56" customWidth="1"/>
    <col min="12304" max="12304" width="28.6640625" style="56" bestFit="1" customWidth="1"/>
    <col min="12305" max="12544" width="10.33203125" style="56"/>
    <col min="12545" max="12545" width="24.6640625" style="56" bestFit="1" customWidth="1"/>
    <col min="12546" max="12546" width="12" style="56" customWidth="1"/>
    <col min="12547" max="12547" width="13" style="56" bestFit="1" customWidth="1"/>
    <col min="12548" max="12548" width="13.33203125" style="56" bestFit="1" customWidth="1"/>
    <col min="12549" max="12549" width="14.6640625" style="56" customWidth="1"/>
    <col min="12550" max="12550" width="10.33203125" style="56"/>
    <col min="12551" max="12551" width="13.33203125" style="56" bestFit="1" customWidth="1"/>
    <col min="12552" max="12552" width="13.33203125" style="56" customWidth="1"/>
    <col min="12553" max="12553" width="12" style="56" customWidth="1"/>
    <col min="12554" max="12556" width="10.33203125" style="56"/>
    <col min="12557" max="12557" width="15" style="56" customWidth="1"/>
    <col min="12558" max="12558" width="12" style="56" customWidth="1"/>
    <col min="12559" max="12559" width="10.5" style="56" customWidth="1"/>
    <col min="12560" max="12560" width="28.6640625" style="56" bestFit="1" customWidth="1"/>
    <col min="12561" max="12800" width="10.33203125" style="56"/>
    <col min="12801" max="12801" width="24.6640625" style="56" bestFit="1" customWidth="1"/>
    <col min="12802" max="12802" width="12" style="56" customWidth="1"/>
    <col min="12803" max="12803" width="13" style="56" bestFit="1" customWidth="1"/>
    <col min="12804" max="12804" width="13.33203125" style="56" bestFit="1" customWidth="1"/>
    <col min="12805" max="12805" width="14.6640625" style="56" customWidth="1"/>
    <col min="12806" max="12806" width="10.33203125" style="56"/>
    <col min="12807" max="12807" width="13.33203125" style="56" bestFit="1" customWidth="1"/>
    <col min="12808" max="12808" width="13.33203125" style="56" customWidth="1"/>
    <col min="12809" max="12809" width="12" style="56" customWidth="1"/>
    <col min="12810" max="12812" width="10.33203125" style="56"/>
    <col min="12813" max="12813" width="15" style="56" customWidth="1"/>
    <col min="12814" max="12814" width="12" style="56" customWidth="1"/>
    <col min="12815" max="12815" width="10.5" style="56" customWidth="1"/>
    <col min="12816" max="12816" width="28.6640625" style="56" bestFit="1" customWidth="1"/>
    <col min="12817" max="13056" width="10.33203125" style="56"/>
    <col min="13057" max="13057" width="24.6640625" style="56" bestFit="1" customWidth="1"/>
    <col min="13058" max="13058" width="12" style="56" customWidth="1"/>
    <col min="13059" max="13059" width="13" style="56" bestFit="1" customWidth="1"/>
    <col min="13060" max="13060" width="13.33203125" style="56" bestFit="1" customWidth="1"/>
    <col min="13061" max="13061" width="14.6640625" style="56" customWidth="1"/>
    <col min="13062" max="13062" width="10.33203125" style="56"/>
    <col min="13063" max="13063" width="13.33203125" style="56" bestFit="1" customWidth="1"/>
    <col min="13064" max="13064" width="13.33203125" style="56" customWidth="1"/>
    <col min="13065" max="13065" width="12" style="56" customWidth="1"/>
    <col min="13066" max="13068" width="10.33203125" style="56"/>
    <col min="13069" max="13069" width="15" style="56" customWidth="1"/>
    <col min="13070" max="13070" width="12" style="56" customWidth="1"/>
    <col min="13071" max="13071" width="10.5" style="56" customWidth="1"/>
    <col min="13072" max="13072" width="28.6640625" style="56" bestFit="1" customWidth="1"/>
    <col min="13073" max="13312" width="10.33203125" style="56"/>
    <col min="13313" max="13313" width="24.6640625" style="56" bestFit="1" customWidth="1"/>
    <col min="13314" max="13314" width="12" style="56" customWidth="1"/>
    <col min="13315" max="13315" width="13" style="56" bestFit="1" customWidth="1"/>
    <col min="13316" max="13316" width="13.33203125" style="56" bestFit="1" customWidth="1"/>
    <col min="13317" max="13317" width="14.6640625" style="56" customWidth="1"/>
    <col min="13318" max="13318" width="10.33203125" style="56"/>
    <col min="13319" max="13319" width="13.33203125" style="56" bestFit="1" customWidth="1"/>
    <col min="13320" max="13320" width="13.33203125" style="56" customWidth="1"/>
    <col min="13321" max="13321" width="12" style="56" customWidth="1"/>
    <col min="13322" max="13324" width="10.33203125" style="56"/>
    <col min="13325" max="13325" width="15" style="56" customWidth="1"/>
    <col min="13326" max="13326" width="12" style="56" customWidth="1"/>
    <col min="13327" max="13327" width="10.5" style="56" customWidth="1"/>
    <col min="13328" max="13328" width="28.6640625" style="56" bestFit="1" customWidth="1"/>
    <col min="13329" max="13568" width="10.33203125" style="56"/>
    <col min="13569" max="13569" width="24.6640625" style="56" bestFit="1" customWidth="1"/>
    <col min="13570" max="13570" width="12" style="56" customWidth="1"/>
    <col min="13571" max="13571" width="13" style="56" bestFit="1" customWidth="1"/>
    <col min="13572" max="13572" width="13.33203125" style="56" bestFit="1" customWidth="1"/>
    <col min="13573" max="13573" width="14.6640625" style="56" customWidth="1"/>
    <col min="13574" max="13574" width="10.33203125" style="56"/>
    <col min="13575" max="13575" width="13.33203125" style="56" bestFit="1" customWidth="1"/>
    <col min="13576" max="13576" width="13.33203125" style="56" customWidth="1"/>
    <col min="13577" max="13577" width="12" style="56" customWidth="1"/>
    <col min="13578" max="13580" width="10.33203125" style="56"/>
    <col min="13581" max="13581" width="15" style="56" customWidth="1"/>
    <col min="13582" max="13582" width="12" style="56" customWidth="1"/>
    <col min="13583" max="13583" width="10.5" style="56" customWidth="1"/>
    <col min="13584" max="13584" width="28.6640625" style="56" bestFit="1" customWidth="1"/>
    <col min="13585" max="13824" width="10.33203125" style="56"/>
    <col min="13825" max="13825" width="24.6640625" style="56" bestFit="1" customWidth="1"/>
    <col min="13826" max="13826" width="12" style="56" customWidth="1"/>
    <col min="13827" max="13827" width="13" style="56" bestFit="1" customWidth="1"/>
    <col min="13828" max="13828" width="13.33203125" style="56" bestFit="1" customWidth="1"/>
    <col min="13829" max="13829" width="14.6640625" style="56" customWidth="1"/>
    <col min="13830" max="13830" width="10.33203125" style="56"/>
    <col min="13831" max="13831" width="13.33203125" style="56" bestFit="1" customWidth="1"/>
    <col min="13832" max="13832" width="13.33203125" style="56" customWidth="1"/>
    <col min="13833" max="13833" width="12" style="56" customWidth="1"/>
    <col min="13834" max="13836" width="10.33203125" style="56"/>
    <col min="13837" max="13837" width="15" style="56" customWidth="1"/>
    <col min="13838" max="13838" width="12" style="56" customWidth="1"/>
    <col min="13839" max="13839" width="10.5" style="56" customWidth="1"/>
    <col min="13840" max="13840" width="28.6640625" style="56" bestFit="1" customWidth="1"/>
    <col min="13841" max="14080" width="10.33203125" style="56"/>
    <col min="14081" max="14081" width="24.6640625" style="56" bestFit="1" customWidth="1"/>
    <col min="14082" max="14082" width="12" style="56" customWidth="1"/>
    <col min="14083" max="14083" width="13" style="56" bestFit="1" customWidth="1"/>
    <col min="14084" max="14084" width="13.33203125" style="56" bestFit="1" customWidth="1"/>
    <col min="14085" max="14085" width="14.6640625" style="56" customWidth="1"/>
    <col min="14086" max="14086" width="10.33203125" style="56"/>
    <col min="14087" max="14087" width="13.33203125" style="56" bestFit="1" customWidth="1"/>
    <col min="14088" max="14088" width="13.33203125" style="56" customWidth="1"/>
    <col min="14089" max="14089" width="12" style="56" customWidth="1"/>
    <col min="14090" max="14092" width="10.33203125" style="56"/>
    <col min="14093" max="14093" width="15" style="56" customWidth="1"/>
    <col min="14094" max="14094" width="12" style="56" customWidth="1"/>
    <col min="14095" max="14095" width="10.5" style="56" customWidth="1"/>
    <col min="14096" max="14096" width="28.6640625" style="56" bestFit="1" customWidth="1"/>
    <col min="14097" max="14336" width="10.33203125" style="56"/>
    <col min="14337" max="14337" width="24.6640625" style="56" bestFit="1" customWidth="1"/>
    <col min="14338" max="14338" width="12" style="56" customWidth="1"/>
    <col min="14339" max="14339" width="13" style="56" bestFit="1" customWidth="1"/>
    <col min="14340" max="14340" width="13.33203125" style="56" bestFit="1" customWidth="1"/>
    <col min="14341" max="14341" width="14.6640625" style="56" customWidth="1"/>
    <col min="14342" max="14342" width="10.33203125" style="56"/>
    <col min="14343" max="14343" width="13.33203125" style="56" bestFit="1" customWidth="1"/>
    <col min="14344" max="14344" width="13.33203125" style="56" customWidth="1"/>
    <col min="14345" max="14345" width="12" style="56" customWidth="1"/>
    <col min="14346" max="14348" width="10.33203125" style="56"/>
    <col min="14349" max="14349" width="15" style="56" customWidth="1"/>
    <col min="14350" max="14350" width="12" style="56" customWidth="1"/>
    <col min="14351" max="14351" width="10.5" style="56" customWidth="1"/>
    <col min="14352" max="14352" width="28.6640625" style="56" bestFit="1" customWidth="1"/>
    <col min="14353" max="14592" width="10.33203125" style="56"/>
    <col min="14593" max="14593" width="24.6640625" style="56" bestFit="1" customWidth="1"/>
    <col min="14594" max="14594" width="12" style="56" customWidth="1"/>
    <col min="14595" max="14595" width="13" style="56" bestFit="1" customWidth="1"/>
    <col min="14596" max="14596" width="13.33203125" style="56" bestFit="1" customWidth="1"/>
    <col min="14597" max="14597" width="14.6640625" style="56" customWidth="1"/>
    <col min="14598" max="14598" width="10.33203125" style="56"/>
    <col min="14599" max="14599" width="13.33203125" style="56" bestFit="1" customWidth="1"/>
    <col min="14600" max="14600" width="13.33203125" style="56" customWidth="1"/>
    <col min="14601" max="14601" width="12" style="56" customWidth="1"/>
    <col min="14602" max="14604" width="10.33203125" style="56"/>
    <col min="14605" max="14605" width="15" style="56" customWidth="1"/>
    <col min="14606" max="14606" width="12" style="56" customWidth="1"/>
    <col min="14607" max="14607" width="10.5" style="56" customWidth="1"/>
    <col min="14608" max="14608" width="28.6640625" style="56" bestFit="1" customWidth="1"/>
    <col min="14609" max="14848" width="10.33203125" style="56"/>
    <col min="14849" max="14849" width="24.6640625" style="56" bestFit="1" customWidth="1"/>
    <col min="14850" max="14850" width="12" style="56" customWidth="1"/>
    <col min="14851" max="14851" width="13" style="56" bestFit="1" customWidth="1"/>
    <col min="14852" max="14852" width="13.33203125" style="56" bestFit="1" customWidth="1"/>
    <col min="14853" max="14853" width="14.6640625" style="56" customWidth="1"/>
    <col min="14854" max="14854" width="10.33203125" style="56"/>
    <col min="14855" max="14855" width="13.33203125" style="56" bestFit="1" customWidth="1"/>
    <col min="14856" max="14856" width="13.33203125" style="56" customWidth="1"/>
    <col min="14857" max="14857" width="12" style="56" customWidth="1"/>
    <col min="14858" max="14860" width="10.33203125" style="56"/>
    <col min="14861" max="14861" width="15" style="56" customWidth="1"/>
    <col min="14862" max="14862" width="12" style="56" customWidth="1"/>
    <col min="14863" max="14863" width="10.5" style="56" customWidth="1"/>
    <col min="14864" max="14864" width="28.6640625" style="56" bestFit="1" customWidth="1"/>
    <col min="14865" max="15104" width="10.33203125" style="56"/>
    <col min="15105" max="15105" width="24.6640625" style="56" bestFit="1" customWidth="1"/>
    <col min="15106" max="15106" width="12" style="56" customWidth="1"/>
    <col min="15107" max="15107" width="13" style="56" bestFit="1" customWidth="1"/>
    <col min="15108" max="15108" width="13.33203125" style="56" bestFit="1" customWidth="1"/>
    <col min="15109" max="15109" width="14.6640625" style="56" customWidth="1"/>
    <col min="15110" max="15110" width="10.33203125" style="56"/>
    <col min="15111" max="15111" width="13.33203125" style="56" bestFit="1" customWidth="1"/>
    <col min="15112" max="15112" width="13.33203125" style="56" customWidth="1"/>
    <col min="15113" max="15113" width="12" style="56" customWidth="1"/>
    <col min="15114" max="15116" width="10.33203125" style="56"/>
    <col min="15117" max="15117" width="15" style="56" customWidth="1"/>
    <col min="15118" max="15118" width="12" style="56" customWidth="1"/>
    <col min="15119" max="15119" width="10.5" style="56" customWidth="1"/>
    <col min="15120" max="15120" width="28.6640625" style="56" bestFit="1" customWidth="1"/>
    <col min="15121" max="15360" width="10.33203125" style="56"/>
    <col min="15361" max="15361" width="24.6640625" style="56" bestFit="1" customWidth="1"/>
    <col min="15362" max="15362" width="12" style="56" customWidth="1"/>
    <col min="15363" max="15363" width="13" style="56" bestFit="1" customWidth="1"/>
    <col min="15364" max="15364" width="13.33203125" style="56" bestFit="1" customWidth="1"/>
    <col min="15365" max="15365" width="14.6640625" style="56" customWidth="1"/>
    <col min="15366" max="15366" width="10.33203125" style="56"/>
    <col min="15367" max="15367" width="13.33203125" style="56" bestFit="1" customWidth="1"/>
    <col min="15368" max="15368" width="13.33203125" style="56" customWidth="1"/>
    <col min="15369" max="15369" width="12" style="56" customWidth="1"/>
    <col min="15370" max="15372" width="10.33203125" style="56"/>
    <col min="15373" max="15373" width="15" style="56" customWidth="1"/>
    <col min="15374" max="15374" width="12" style="56" customWidth="1"/>
    <col min="15375" max="15375" width="10.5" style="56" customWidth="1"/>
    <col min="15376" max="15376" width="28.6640625" style="56" bestFit="1" customWidth="1"/>
    <col min="15377" max="15616" width="10.33203125" style="56"/>
    <col min="15617" max="15617" width="24.6640625" style="56" bestFit="1" customWidth="1"/>
    <col min="15618" max="15618" width="12" style="56" customWidth="1"/>
    <col min="15619" max="15619" width="13" style="56" bestFit="1" customWidth="1"/>
    <col min="15620" max="15620" width="13.33203125" style="56" bestFit="1" customWidth="1"/>
    <col min="15621" max="15621" width="14.6640625" style="56" customWidth="1"/>
    <col min="15622" max="15622" width="10.33203125" style="56"/>
    <col min="15623" max="15623" width="13.33203125" style="56" bestFit="1" customWidth="1"/>
    <col min="15624" max="15624" width="13.33203125" style="56" customWidth="1"/>
    <col min="15625" max="15625" width="12" style="56" customWidth="1"/>
    <col min="15626" max="15628" width="10.33203125" style="56"/>
    <col min="15629" max="15629" width="15" style="56" customWidth="1"/>
    <col min="15630" max="15630" width="12" style="56" customWidth="1"/>
    <col min="15631" max="15631" width="10.5" style="56" customWidth="1"/>
    <col min="15632" max="15632" width="28.6640625" style="56" bestFit="1" customWidth="1"/>
    <col min="15633" max="15872" width="10.33203125" style="56"/>
    <col min="15873" max="15873" width="24.6640625" style="56" bestFit="1" customWidth="1"/>
    <col min="15874" max="15874" width="12" style="56" customWidth="1"/>
    <col min="15875" max="15875" width="13" style="56" bestFit="1" customWidth="1"/>
    <col min="15876" max="15876" width="13.33203125" style="56" bestFit="1" customWidth="1"/>
    <col min="15877" max="15877" width="14.6640625" style="56" customWidth="1"/>
    <col min="15878" max="15878" width="10.33203125" style="56"/>
    <col min="15879" max="15879" width="13.33203125" style="56" bestFit="1" customWidth="1"/>
    <col min="15880" max="15880" width="13.33203125" style="56" customWidth="1"/>
    <col min="15881" max="15881" width="12" style="56" customWidth="1"/>
    <col min="15882" max="15884" width="10.33203125" style="56"/>
    <col min="15885" max="15885" width="15" style="56" customWidth="1"/>
    <col min="15886" max="15886" width="12" style="56" customWidth="1"/>
    <col min="15887" max="15887" width="10.5" style="56" customWidth="1"/>
    <col min="15888" max="15888" width="28.6640625" style="56" bestFit="1" customWidth="1"/>
    <col min="15889" max="16128" width="10.33203125" style="56"/>
    <col min="16129" max="16129" width="24.6640625" style="56" bestFit="1" customWidth="1"/>
    <col min="16130" max="16130" width="12" style="56" customWidth="1"/>
    <col min="16131" max="16131" width="13" style="56" bestFit="1" customWidth="1"/>
    <col min="16132" max="16132" width="13.33203125" style="56" bestFit="1" customWidth="1"/>
    <col min="16133" max="16133" width="14.6640625" style="56" customWidth="1"/>
    <col min="16134" max="16134" width="10.33203125" style="56"/>
    <col min="16135" max="16135" width="13.33203125" style="56" bestFit="1" customWidth="1"/>
    <col min="16136" max="16136" width="13.33203125" style="56" customWidth="1"/>
    <col min="16137" max="16137" width="12" style="56" customWidth="1"/>
    <col min="16138" max="16140" width="10.33203125" style="56"/>
    <col min="16141" max="16141" width="15" style="56" customWidth="1"/>
    <col min="16142" max="16142" width="12" style="56" customWidth="1"/>
    <col min="16143" max="16143" width="10.5" style="56" customWidth="1"/>
    <col min="16144" max="16144" width="28.6640625" style="56" bestFit="1" customWidth="1"/>
    <col min="16145" max="16384" width="10.33203125" style="56"/>
  </cols>
  <sheetData>
    <row r="1" spans="1:16" ht="30" customHeight="1" thickBot="1">
      <c r="A1" s="241" t="s">
        <v>633</v>
      </c>
      <c r="B1" s="241"/>
      <c r="C1" s="240"/>
      <c r="D1" s="240"/>
      <c r="E1" s="240"/>
      <c r="F1" s="240"/>
      <c r="G1" s="240"/>
      <c r="H1" s="240"/>
      <c r="I1" s="240"/>
      <c r="J1" s="240"/>
      <c r="K1" s="240"/>
      <c r="L1" s="240"/>
      <c r="M1" s="240"/>
      <c r="N1" s="67"/>
    </row>
    <row r="2" spans="1:16" ht="6" customHeight="1"/>
    <row r="3" spans="1:16" ht="10.5" customHeight="1">
      <c r="A3" s="500" t="s">
        <v>1124</v>
      </c>
      <c r="B3" s="500"/>
    </row>
    <row r="4" spans="1:16" ht="5.25" customHeight="1"/>
    <row r="5" spans="1:16" ht="18" customHeight="1">
      <c r="A5" s="174" t="s">
        <v>282</v>
      </c>
      <c r="B5" s="174"/>
    </row>
    <row r="6" spans="1:16" ht="10.5" customHeight="1">
      <c r="E6" s="728"/>
    </row>
    <row r="7" spans="1:16" ht="10.5" customHeight="1"/>
    <row r="8" spans="1:16" ht="10.5" customHeight="1">
      <c r="C8" s="162"/>
      <c r="D8" s="163"/>
      <c r="I8" s="485"/>
    </row>
    <row r="9" spans="1:16" ht="10.5" customHeight="1">
      <c r="D9" s="163"/>
    </row>
    <row r="10" spans="1:16" ht="10.5" customHeight="1">
      <c r="B10" s="1388"/>
      <c r="C10" s="1388">
        <v>2022</v>
      </c>
      <c r="D10" s="1388">
        <v>2021</v>
      </c>
    </row>
    <row r="11" spans="1:16" ht="10.5" customHeight="1">
      <c r="B11" s="1388" t="s">
        <v>357</v>
      </c>
      <c r="C11" s="1389">
        <v>109033684</v>
      </c>
      <c r="D11" s="1389">
        <v>103450160.76999071</v>
      </c>
    </row>
    <row r="12" spans="1:16" ht="10.5" customHeight="1">
      <c r="B12" s="1388" t="s">
        <v>358</v>
      </c>
      <c r="C12" s="1389">
        <v>8701674</v>
      </c>
      <c r="D12" s="1389">
        <v>7906734.1599997859</v>
      </c>
    </row>
    <row r="13" spans="1:16" ht="10.5" customHeight="1">
      <c r="B13" s="1388"/>
      <c r="C13" s="1389">
        <f>SUM(C11:C12)</f>
        <v>117735358</v>
      </c>
      <c r="D13" s="1389">
        <f>SUM(D11:D12)</f>
        <v>111356894.9299905</v>
      </c>
      <c r="G13" s="1388"/>
      <c r="H13" s="1388"/>
      <c r="I13" s="1388">
        <v>2022</v>
      </c>
      <c r="J13" s="1388"/>
      <c r="K13" s="1390">
        <v>2021</v>
      </c>
    </row>
    <row r="14" spans="1:16" ht="10.5" customHeight="1">
      <c r="G14" s="1391"/>
      <c r="H14" s="1392"/>
      <c r="I14" s="1396"/>
      <c r="J14" s="1393"/>
      <c r="K14" s="1394"/>
      <c r="O14" s="331"/>
    </row>
    <row r="15" spans="1:16" ht="10.5" customHeight="1">
      <c r="G15" s="1391" t="s">
        <v>137</v>
      </c>
      <c r="H15" s="1392">
        <f>I15/$I$20</f>
        <v>2.5839374947203942E-2</v>
      </c>
      <c r="I15" s="1396">
        <v>3055309</v>
      </c>
      <c r="J15" s="1393">
        <f>K15/$K$20</f>
        <v>1.9737207748143668E-2</v>
      </c>
      <c r="K15" s="1394">
        <v>2212906</v>
      </c>
      <c r="P15" s="331"/>
    </row>
    <row r="16" spans="1:16" ht="10.5" customHeight="1">
      <c r="G16" s="1391" t="s">
        <v>504</v>
      </c>
      <c r="H16" s="1392">
        <f>I16/$I$20</f>
        <v>2.6491290147411275E-2</v>
      </c>
      <c r="I16" s="1396">
        <v>3132393</v>
      </c>
      <c r="J16" s="1393">
        <f>K16/$K$20</f>
        <v>2.2665243878017619E-2</v>
      </c>
      <c r="K16" s="1395">
        <v>2541193</v>
      </c>
    </row>
    <row r="17" spans="2:13" ht="10.5" customHeight="1">
      <c r="G17" s="1391" t="s">
        <v>215</v>
      </c>
      <c r="H17" s="1392">
        <f>I17/$I$20</f>
        <v>5.2650335523853509E-2</v>
      </c>
      <c r="I17" s="1396">
        <f>C120</f>
        <v>6225500.5899999999</v>
      </c>
      <c r="J17" s="1393">
        <f>K17/$K$20</f>
        <v>5.5335862732819194E-2</v>
      </c>
      <c r="K17" s="1394">
        <v>6204173.569999991</v>
      </c>
    </row>
    <row r="18" spans="2:13" ht="10.5" customHeight="1">
      <c r="G18" s="1391" t="s">
        <v>337</v>
      </c>
      <c r="H18" s="1392">
        <f>I18/$I$20</f>
        <v>0.24684294099210616</v>
      </c>
      <c r="I18" s="1396">
        <v>29187295</v>
      </c>
      <c r="J18" s="1393">
        <f>K18/$K$20</f>
        <v>0.24378658800775754</v>
      </c>
      <c r="K18" s="1394">
        <v>27332985</v>
      </c>
    </row>
    <row r="19" spans="2:13" ht="10.5" customHeight="1">
      <c r="G19" s="1391" t="s">
        <v>147</v>
      </c>
      <c r="H19" s="1392">
        <f>I19/$I$20</f>
        <v>0.64817605838942505</v>
      </c>
      <c r="I19" s="1396">
        <v>76641875</v>
      </c>
      <c r="J19" s="1393">
        <f>K19/$K$20</f>
        <v>0.65847509763326195</v>
      </c>
      <c r="K19" s="1394">
        <v>73827236</v>
      </c>
    </row>
    <row r="20" spans="2:13" ht="10.5" customHeight="1">
      <c r="G20" s="1074"/>
      <c r="H20" s="1074"/>
      <c r="I20" s="1495">
        <f>SUM(I14:I19)</f>
        <v>118242372.59</v>
      </c>
      <c r="J20" s="1074"/>
      <c r="K20" s="1394">
        <f>SUM(K14:K19)</f>
        <v>112118493.56999999</v>
      </c>
    </row>
    <row r="21" spans="2:13" ht="10.5" customHeight="1">
      <c r="J21" s="165"/>
    </row>
    <row r="22" spans="2:13" ht="10.5" customHeight="1">
      <c r="G22" s="285"/>
      <c r="H22" s="285"/>
      <c r="I22" s="165"/>
      <c r="J22" s="165"/>
    </row>
    <row r="23" spans="2:13" ht="10.5" customHeight="1"/>
    <row r="24" spans="2:13" ht="10.5" customHeight="1"/>
    <row r="25" spans="2:13" ht="10.5" customHeight="1"/>
    <row r="26" spans="2:13" ht="10.5" customHeight="1"/>
    <row r="27" spans="2:13" ht="10.5" customHeight="1">
      <c r="C27" s="331"/>
    </row>
    <row r="28" spans="2:13" ht="10.5" customHeight="1">
      <c r="I28" s="421"/>
      <c r="J28" s="421"/>
      <c r="K28" s="338"/>
      <c r="L28" s="337"/>
      <c r="M28" s="171"/>
    </row>
    <row r="29" spans="2:13" ht="10.5" customHeight="1">
      <c r="D29" s="67"/>
      <c r="K29" s="338"/>
      <c r="M29" s="171"/>
    </row>
    <row r="30" spans="2:13" ht="10.5" customHeight="1">
      <c r="D30" s="67"/>
      <c r="K30" s="338"/>
      <c r="M30" s="171"/>
    </row>
    <row r="31" spans="2:13" ht="14.1" customHeight="1" thickBot="1">
      <c r="B31" s="422" t="s">
        <v>874</v>
      </c>
      <c r="C31" s="422">
        <v>2020</v>
      </c>
      <c r="D31" s="422">
        <v>2021</v>
      </c>
      <c r="E31" s="422">
        <v>2022</v>
      </c>
      <c r="K31" s="338"/>
      <c r="M31" s="171"/>
    </row>
    <row r="32" spans="2:13" ht="14.1" customHeight="1" thickBot="1">
      <c r="B32" s="1386" t="s">
        <v>357</v>
      </c>
      <c r="C32" s="1387">
        <v>101953105</v>
      </c>
      <c r="D32" s="1387">
        <v>103450160.76999071</v>
      </c>
      <c r="E32" s="1383">
        <v>109033684</v>
      </c>
      <c r="G32" s="909">
        <f>(E32-C32)/C32</f>
        <v>6.9449370865163937E-2</v>
      </c>
      <c r="K32" s="338"/>
      <c r="M32" s="171"/>
    </row>
    <row r="33" spans="2:13" ht="14.1" customHeight="1" thickBot="1">
      <c r="B33" s="1386" t="s">
        <v>875</v>
      </c>
      <c r="C33" s="1387">
        <v>6659690</v>
      </c>
      <c r="D33" s="1387">
        <v>7906734.1599997859</v>
      </c>
      <c r="E33" s="1383">
        <v>8701674</v>
      </c>
      <c r="F33" s="927">
        <f>(E33-C33)/C33</f>
        <v>0.3066184762353803</v>
      </c>
      <c r="G33" s="909">
        <f>(E33-C33)/C33</f>
        <v>0.3066184762353803</v>
      </c>
      <c r="K33" s="338"/>
      <c r="M33" s="171"/>
    </row>
    <row r="34" spans="2:13" ht="14.1" customHeight="1">
      <c r="B34" s="422" t="s">
        <v>876</v>
      </c>
      <c r="C34" s="1384">
        <f>SUM(C32:C33)</f>
        <v>108612795</v>
      </c>
      <c r="D34" s="1384">
        <f t="shared" ref="D34:E34" si="0">SUM(D32:D33)</f>
        <v>111356894.9299905</v>
      </c>
      <c r="E34" s="1384">
        <f t="shared" si="0"/>
        <v>117735358</v>
      </c>
      <c r="F34" s="927">
        <f>(E34-C34)/C34</f>
        <v>8.3991605224780372E-2</v>
      </c>
      <c r="G34" s="909">
        <f>(E34-C34)/C34</f>
        <v>8.3991605224780372E-2</v>
      </c>
      <c r="K34" s="338"/>
      <c r="M34" s="171"/>
    </row>
    <row r="35" spans="2:13" ht="14.1" customHeight="1">
      <c r="B35" s="422" t="s">
        <v>877</v>
      </c>
      <c r="C35" s="1385">
        <f>C33/C34</f>
        <v>6.1315888243185346E-2</v>
      </c>
      <c r="D35" s="1385">
        <f>D33/D34</f>
        <v>7.1003543740786851E-2</v>
      </c>
      <c r="E35" s="1385">
        <f>E33/E34</f>
        <v>7.390875729957011E-2</v>
      </c>
      <c r="K35" s="338"/>
      <c r="M35" s="171"/>
    </row>
    <row r="36" spans="2:13" ht="10.5" customHeight="1">
      <c r="D36" s="67"/>
      <c r="E36" s="909"/>
      <c r="K36" s="338"/>
      <c r="M36" s="171"/>
    </row>
    <row r="37" spans="2:13" ht="10.5" customHeight="1">
      <c r="D37" s="67"/>
      <c r="K37" s="338"/>
      <c r="M37" s="171"/>
    </row>
    <row r="38" spans="2:13" ht="10.5" customHeight="1">
      <c r="D38" s="67"/>
      <c r="K38" s="338"/>
      <c r="M38" s="171"/>
    </row>
    <row r="39" spans="2:13" ht="10.5" customHeight="1">
      <c r="D39" s="67"/>
      <c r="K39" s="338"/>
      <c r="M39" s="171"/>
    </row>
    <row r="40" spans="2:13" ht="10.5" customHeight="1">
      <c r="D40" s="67"/>
      <c r="K40" s="338"/>
      <c r="M40" s="171"/>
    </row>
    <row r="41" spans="2:13" ht="10.5" customHeight="1">
      <c r="D41" s="67"/>
      <c r="K41" s="338"/>
      <c r="M41" s="171"/>
    </row>
    <row r="42" spans="2:13" ht="10.5" customHeight="1">
      <c r="D42" s="67"/>
      <c r="K42" s="338"/>
      <c r="M42" s="171"/>
    </row>
    <row r="43" spans="2:13" ht="10.5" customHeight="1">
      <c r="C43" s="190">
        <v>1594904</v>
      </c>
      <c r="D43" s="356">
        <v>1529499.8299999996</v>
      </c>
      <c r="K43" s="338"/>
      <c r="M43" s="171"/>
    </row>
    <row r="44" spans="2:13" ht="10.5" customHeight="1">
      <c r="C44" s="911">
        <f>C43/E34</f>
        <v>1.3546516756673895E-2</v>
      </c>
      <c r="D44" s="1487">
        <f>(C43-D43)/D43</f>
        <v>4.2761802726058756E-2</v>
      </c>
      <c r="K44" s="338"/>
      <c r="M44" s="171"/>
    </row>
    <row r="45" spans="2:13" ht="10.5" customHeight="1">
      <c r="D45" s="67"/>
      <c r="K45" s="338"/>
      <c r="M45" s="171"/>
    </row>
    <row r="46" spans="2:13" ht="10.5" customHeight="1">
      <c r="D46" s="67"/>
      <c r="K46" s="338"/>
      <c r="M46" s="171"/>
    </row>
    <row r="47" spans="2:13" ht="10.5" customHeight="1">
      <c r="D47" s="67"/>
      <c r="K47" s="338"/>
      <c r="M47" s="171"/>
    </row>
    <row r="48" spans="2:13" ht="10.5" customHeight="1">
      <c r="D48" s="67"/>
      <c r="K48" s="338"/>
      <c r="M48" s="171"/>
    </row>
    <row r="49" spans="1:18" ht="10.5" customHeight="1">
      <c r="D49" s="67"/>
      <c r="K49" s="338"/>
      <c r="M49" s="171"/>
    </row>
    <row r="50" spans="1:18" ht="10.5" customHeight="1">
      <c r="D50" s="67"/>
      <c r="K50" s="338"/>
      <c r="M50" s="171"/>
    </row>
    <row r="51" spans="1:18" ht="10.5" customHeight="1">
      <c r="D51" s="67"/>
      <c r="K51" s="338"/>
      <c r="M51" s="171"/>
    </row>
    <row r="52" spans="1:18" ht="10.5" customHeight="1">
      <c r="D52" s="67"/>
      <c r="K52" s="338"/>
      <c r="M52" s="171"/>
    </row>
    <row r="53" spans="1:18" ht="10.5" customHeight="1">
      <c r="D53" s="67"/>
      <c r="K53" s="338"/>
      <c r="M53" s="171"/>
    </row>
    <row r="54" spans="1:18" ht="10.5" customHeight="1">
      <c r="D54" s="67"/>
      <c r="K54" s="338"/>
      <c r="M54" s="171"/>
    </row>
    <row r="55" spans="1:18" ht="10.5" customHeight="1">
      <c r="D55" s="67"/>
      <c r="K55" s="338"/>
      <c r="M55" s="171"/>
    </row>
    <row r="56" spans="1:18" ht="10.5" customHeight="1">
      <c r="D56" s="67"/>
      <c r="K56" s="338"/>
      <c r="M56" s="171"/>
    </row>
    <row r="57" spans="1:18" ht="10.5" customHeight="1">
      <c r="D57" s="67"/>
      <c r="K57" s="338"/>
      <c r="M57" s="171"/>
    </row>
    <row r="58" spans="1:18" ht="10.15" customHeight="1">
      <c r="D58" s="67"/>
      <c r="K58" s="338"/>
      <c r="M58" s="171"/>
    </row>
    <row r="59" spans="1:18" ht="18" customHeight="1">
      <c r="A59" s="174" t="s">
        <v>655</v>
      </c>
      <c r="B59" s="174"/>
      <c r="J59" s="331"/>
      <c r="L59" s="337"/>
      <c r="M59" s="868"/>
    </row>
    <row r="60" spans="1:18" ht="10.5" customHeight="1">
      <c r="B60" s="500" t="s">
        <v>1125</v>
      </c>
      <c r="K60" s="338"/>
    </row>
    <row r="61" spans="1:18" ht="18" customHeight="1">
      <c r="B61" s="723" t="s">
        <v>992</v>
      </c>
      <c r="J61" s="793"/>
      <c r="K61" s="338"/>
      <c r="M61" s="171"/>
      <c r="N61" s="331"/>
    </row>
    <row r="62" spans="1:18" ht="15" customHeight="1">
      <c r="B62" s="496"/>
      <c r="C62" s="496"/>
      <c r="E62" s="1488">
        <v>2020</v>
      </c>
      <c r="F62" s="1488"/>
      <c r="G62" s="1488">
        <v>2021</v>
      </c>
      <c r="H62" s="1488"/>
      <c r="I62" s="1488">
        <v>2022</v>
      </c>
      <c r="J62" s="1488"/>
      <c r="K62" s="337"/>
      <c r="L62" s="171"/>
      <c r="P62" s="501"/>
      <c r="R62" s="56"/>
    </row>
    <row r="63" spans="1:18" ht="15" customHeight="1" thickBot="1">
      <c r="B63" s="672"/>
      <c r="C63" s="672"/>
      <c r="E63" s="1488" t="s">
        <v>1126</v>
      </c>
      <c r="F63" s="1488" t="s">
        <v>1127</v>
      </c>
      <c r="G63" s="1488" t="s">
        <v>1126</v>
      </c>
      <c r="H63" s="1488" t="s">
        <v>1127</v>
      </c>
      <c r="I63" s="1488" t="s">
        <v>1126</v>
      </c>
      <c r="J63" s="1488" t="s">
        <v>1127</v>
      </c>
      <c r="K63" s="337"/>
      <c r="L63" s="171"/>
      <c r="P63" s="501"/>
      <c r="R63" s="56"/>
    </row>
    <row r="64" spans="1:18" ht="17.25" customHeight="1" thickBot="1">
      <c r="C64" s="506" t="s">
        <v>133</v>
      </c>
      <c r="D64" s="164"/>
      <c r="E64" s="505">
        <v>46580467</v>
      </c>
      <c r="F64" s="1489">
        <f>(11595718+3849639)/E64</f>
        <v>0.33158441713347359</v>
      </c>
      <c r="G64" s="505">
        <v>49361873</v>
      </c>
      <c r="H64" s="1489">
        <f>16981411/G64</f>
        <v>0.34401877335570308</v>
      </c>
      <c r="I64" s="1383">
        <v>50529954.720000178</v>
      </c>
      <c r="J64" s="1489">
        <f>17675822/I64</f>
        <v>0.3498087836798271</v>
      </c>
      <c r="L64" s="171"/>
      <c r="M64" s="331"/>
      <c r="P64" s="501"/>
      <c r="R64" s="56"/>
    </row>
    <row r="65" spans="1:18" ht="17.25" customHeight="1" thickBot="1">
      <c r="C65" s="506" t="s">
        <v>359</v>
      </c>
      <c r="D65" s="164"/>
      <c r="E65" s="505">
        <v>12902688</v>
      </c>
      <c r="F65" s="1489">
        <f>5072510/E65</f>
        <v>0.39313591090476652</v>
      </c>
      <c r="G65" s="505">
        <v>14128026</v>
      </c>
      <c r="H65" s="1489">
        <f>5456810/G65</f>
        <v>0.3862400876102578</v>
      </c>
      <c r="I65" s="1383">
        <v>14694198.83</v>
      </c>
      <c r="J65" s="1489">
        <f>5660704/I65</f>
        <v>0.3852339324851779</v>
      </c>
      <c r="K65" s="337"/>
      <c r="L65" s="171"/>
      <c r="P65" s="501"/>
      <c r="R65" s="56"/>
    </row>
    <row r="66" spans="1:18" ht="17.25" customHeight="1" thickBot="1">
      <c r="C66" s="506" t="s">
        <v>54</v>
      </c>
      <c r="D66" s="164"/>
      <c r="E66" s="505">
        <v>9361040</v>
      </c>
      <c r="F66" s="1489">
        <f>3773970/E66</f>
        <v>0.40315712784049634</v>
      </c>
      <c r="G66" s="505">
        <v>10337336</v>
      </c>
      <c r="H66" s="1489">
        <f>3950405/G66</f>
        <v>0.38214923071089107</v>
      </c>
      <c r="I66" s="1383">
        <v>11417721.019999977</v>
      </c>
      <c r="J66" s="1489">
        <f>4604316/I66</f>
        <v>0.40326050986311535</v>
      </c>
      <c r="L66" s="171"/>
      <c r="P66" s="501"/>
      <c r="R66" s="56"/>
    </row>
    <row r="67" spans="1:18" ht="17.25" customHeight="1" thickBot="1">
      <c r="C67" s="506" t="s">
        <v>310</v>
      </c>
      <c r="D67" s="164"/>
      <c r="E67" s="505">
        <v>20960758</v>
      </c>
      <c r="F67" s="1489">
        <f>14096131/E67</f>
        <v>0.67250101356067371</v>
      </c>
      <c r="G67" s="505">
        <v>21121346</v>
      </c>
      <c r="H67" s="1489">
        <f>14215574/G67</f>
        <v>0.67304299640752063</v>
      </c>
      <c r="I67" s="1383">
        <v>21642204.599999983</v>
      </c>
      <c r="J67" s="1489">
        <f>14523830/I67</f>
        <v>0.67108828644933938</v>
      </c>
      <c r="P67" s="501"/>
      <c r="R67" s="56"/>
    </row>
    <row r="68" spans="1:18" ht="17.25" customHeight="1" thickBot="1">
      <c r="C68" s="506" t="s">
        <v>311</v>
      </c>
      <c r="D68" s="164"/>
      <c r="E68" s="505">
        <v>5830312</v>
      </c>
      <c r="F68" s="1489">
        <f>3956815/E68</f>
        <v>0.67866265132980874</v>
      </c>
      <c r="G68" s="505">
        <v>6211639</v>
      </c>
      <c r="H68" s="1489">
        <f>4206464/G68</f>
        <v>0.67719067383020815</v>
      </c>
      <c r="I68" s="1383">
        <v>7545089.9899999984</v>
      </c>
      <c r="J68" s="1489">
        <f>5100891/I68</f>
        <v>0.67605436207660141</v>
      </c>
      <c r="M68" s="400"/>
      <c r="P68" s="501"/>
      <c r="R68" s="56"/>
    </row>
    <row r="69" spans="1:18" ht="17.25" customHeight="1" thickBot="1">
      <c r="B69" s="57"/>
      <c r="C69" s="57"/>
      <c r="D69" s="57"/>
      <c r="E69" s="667">
        <f t="shared" ref="E69" si="1">SUM(E64:E68)</f>
        <v>95635265</v>
      </c>
      <c r="F69" s="1490">
        <f>(3965815+14096131+3773970+5072510+11959718+3849639)/E69</f>
        <v>0.44667396488105093</v>
      </c>
      <c r="G69" s="667">
        <f>SUM(G64:G68)</f>
        <v>101160220</v>
      </c>
      <c r="H69" s="1490">
        <f>(4206464+14215574+16981411+5456810+3950405)/G69</f>
        <v>0.44296724542512855</v>
      </c>
      <c r="I69" s="667">
        <f>SUM(I64:I68)</f>
        <v>105829169.16000013</v>
      </c>
      <c r="J69" s="1490">
        <f>(19624721+27940842)/I69</f>
        <v>0.44945607508348639</v>
      </c>
      <c r="P69" s="501"/>
      <c r="R69" s="56"/>
    </row>
    <row r="70" spans="1:18" ht="17.25" customHeight="1">
      <c r="C70" s="57"/>
      <c r="D70" s="57"/>
      <c r="E70" s="57"/>
      <c r="K70" s="338"/>
    </row>
    <row r="71" spans="1:18" ht="17.25" customHeight="1">
      <c r="C71" s="57"/>
      <c r="D71" s="57"/>
      <c r="E71" s="57"/>
      <c r="K71" s="338"/>
    </row>
    <row r="72" spans="1:18" ht="17.25" customHeight="1">
      <c r="C72" s="57"/>
      <c r="D72" s="57"/>
      <c r="E72" s="57"/>
      <c r="K72" s="338"/>
    </row>
    <row r="73" spans="1:18" ht="17.25" customHeight="1">
      <c r="A73" s="174" t="s">
        <v>990</v>
      </c>
      <c r="B73" s="174"/>
      <c r="D73" s="166"/>
      <c r="E73" s="166"/>
      <c r="K73" s="338"/>
    </row>
    <row r="74" spans="1:18" ht="17.25" customHeight="1">
      <c r="A74" s="511" t="s">
        <v>991</v>
      </c>
      <c r="B74" s="511"/>
      <c r="K74" s="338"/>
    </row>
    <row r="75" spans="1:18" ht="17.25" customHeight="1">
      <c r="A75" s="57"/>
      <c r="B75" s="57"/>
      <c r="C75" s="177"/>
      <c r="D75" s="177"/>
      <c r="E75" s="1641" t="s">
        <v>839</v>
      </c>
      <c r="F75" s="1641" t="s">
        <v>989</v>
      </c>
      <c r="G75" s="1641" t="s">
        <v>1115</v>
      </c>
      <c r="K75" s="338"/>
    </row>
    <row r="76" spans="1:18" ht="17.25" customHeight="1">
      <c r="A76" s="57"/>
      <c r="B76" s="57"/>
      <c r="C76" s="177"/>
      <c r="D76" s="177"/>
      <c r="E76" s="1641"/>
      <c r="F76" s="1641"/>
      <c r="G76" s="1641"/>
      <c r="K76" s="338"/>
    </row>
    <row r="77" spans="1:18" ht="17.25" customHeight="1" thickBot="1">
      <c r="A77" s="168"/>
      <c r="B77" s="168"/>
      <c r="C77" s="507"/>
      <c r="D77" s="507"/>
      <c r="E77" s="507"/>
      <c r="F77" s="507"/>
      <c r="G77" s="507"/>
      <c r="K77" s="338"/>
    </row>
    <row r="78" spans="1:18" ht="17.25" customHeight="1" thickBot="1">
      <c r="D78" s="508" t="s">
        <v>278</v>
      </c>
      <c r="E78" s="505">
        <v>120278</v>
      </c>
      <c r="F78" s="505">
        <v>122412</v>
      </c>
      <c r="G78" s="1383">
        <v>124903</v>
      </c>
      <c r="K78" s="338"/>
    </row>
    <row r="79" spans="1:18" ht="17.25" customHeight="1" thickBot="1">
      <c r="D79" s="508" t="s">
        <v>279</v>
      </c>
      <c r="E79" s="505">
        <v>87229</v>
      </c>
      <c r="F79" s="505">
        <v>87929</v>
      </c>
      <c r="G79" s="1383">
        <v>92741</v>
      </c>
      <c r="K79" s="338"/>
    </row>
    <row r="80" spans="1:18" ht="17.25" customHeight="1" thickBot="1">
      <c r="D80" s="509" t="s">
        <v>90</v>
      </c>
      <c r="E80" s="505">
        <v>82559</v>
      </c>
      <c r="F80" s="505">
        <v>83504</v>
      </c>
      <c r="G80" s="1383">
        <v>85598</v>
      </c>
      <c r="K80" s="338"/>
    </row>
    <row r="81" spans="1:17" ht="17.25" customHeight="1" thickBot="1">
      <c r="D81" s="509" t="s">
        <v>338</v>
      </c>
      <c r="E81" s="505">
        <v>72676</v>
      </c>
      <c r="F81" s="505">
        <v>74315</v>
      </c>
      <c r="G81" s="1383">
        <v>79021</v>
      </c>
      <c r="K81" s="338"/>
    </row>
    <row r="82" spans="1:17" ht="17.25" customHeight="1" thickBot="1">
      <c r="D82" s="509" t="s">
        <v>339</v>
      </c>
      <c r="E82" s="505">
        <v>50257</v>
      </c>
      <c r="F82" s="505">
        <v>51383</v>
      </c>
      <c r="G82" s="1383">
        <v>53734</v>
      </c>
      <c r="K82" s="338"/>
    </row>
    <row r="83" spans="1:17" ht="17.25" customHeight="1" thickBot="1">
      <c r="D83" s="510" t="s">
        <v>340</v>
      </c>
      <c r="E83" s="505">
        <v>42636</v>
      </c>
      <c r="F83" s="505">
        <v>43465</v>
      </c>
      <c r="G83" s="1383">
        <v>46450</v>
      </c>
      <c r="K83" s="338"/>
    </row>
    <row r="84" spans="1:17" ht="17.25" customHeight="1">
      <c r="C84" s="57"/>
      <c r="D84" s="57"/>
      <c r="E84" s="57"/>
      <c r="K84" s="338"/>
    </row>
    <row r="85" spans="1:17" ht="12" customHeight="1">
      <c r="F85" s="229"/>
      <c r="M85" s="229"/>
    </row>
    <row r="86" spans="1:17">
      <c r="J86" s="331"/>
      <c r="L86" s="502"/>
    </row>
    <row r="87" spans="1:17">
      <c r="L87" s="664"/>
    </row>
    <row r="88" spans="1:17" ht="18" customHeight="1">
      <c r="A88" s="174" t="s">
        <v>873</v>
      </c>
      <c r="B88" s="174"/>
      <c r="P88" s="171"/>
    </row>
    <row r="89" spans="1:17" ht="18" customHeight="1">
      <c r="A89" s="511" t="s">
        <v>991</v>
      </c>
      <c r="B89" s="511"/>
      <c r="P89" s="171"/>
    </row>
    <row r="90" spans="1:17" s="512" customFormat="1" ht="14.65" customHeight="1">
      <c r="M90" s="866"/>
      <c r="P90" s="514"/>
    </row>
    <row r="91" spans="1:17" s="512" customFormat="1" ht="14.65" customHeight="1">
      <c r="M91" s="866"/>
      <c r="P91" s="514"/>
    </row>
    <row r="92" spans="1:17" s="512" customFormat="1" ht="14.65" customHeight="1">
      <c r="M92" s="866"/>
      <c r="P92" s="514"/>
      <c r="Q92" s="514"/>
    </row>
    <row r="93" spans="1:17" s="512" customFormat="1" ht="14.65" customHeight="1">
      <c r="M93" s="866"/>
      <c r="P93" s="514"/>
      <c r="Q93" s="514"/>
    </row>
    <row r="94" spans="1:17" s="512" customFormat="1" ht="14.65" customHeight="1" thickBot="1">
      <c r="A94" s="515"/>
      <c r="B94" s="515"/>
      <c r="C94" s="1075"/>
      <c r="D94" s="1075"/>
      <c r="E94" s="1076">
        <v>2020</v>
      </c>
      <c r="F94" s="1076"/>
      <c r="G94" s="1076">
        <v>2021</v>
      </c>
      <c r="H94" s="1076"/>
      <c r="I94" s="1077">
        <v>2022</v>
      </c>
      <c r="J94" s="1078"/>
      <c r="M94" s="866"/>
      <c r="O94" s="582"/>
      <c r="P94" s="514"/>
      <c r="Q94" s="514"/>
    </row>
    <row r="95" spans="1:17" s="512" customFormat="1" ht="14.65" customHeight="1" thickBot="1">
      <c r="C95" s="656"/>
      <c r="D95" s="657"/>
      <c r="E95" s="635" t="s">
        <v>135</v>
      </c>
      <c r="F95" s="635" t="s">
        <v>136</v>
      </c>
      <c r="G95" s="635" t="s">
        <v>135</v>
      </c>
      <c r="H95" s="635" t="s">
        <v>136</v>
      </c>
      <c r="I95" s="635" t="s">
        <v>135</v>
      </c>
      <c r="J95" s="635" t="s">
        <v>136</v>
      </c>
      <c r="K95" s="582"/>
      <c r="M95" s="866"/>
      <c r="P95" s="514"/>
      <c r="Q95" s="514"/>
    </row>
    <row r="96" spans="1:17" s="512" customFormat="1" ht="14.65" customHeight="1" thickBot="1">
      <c r="C96" s="654" t="s">
        <v>123</v>
      </c>
      <c r="D96" s="655"/>
      <c r="E96" s="505">
        <v>1762108</v>
      </c>
      <c r="F96" s="1082">
        <v>1.6223760596311324E-2</v>
      </c>
      <c r="G96" s="505">
        <v>2073171</v>
      </c>
      <c r="H96" s="1082">
        <v>1.8617356395429236E-2</v>
      </c>
      <c r="I96" s="1383">
        <v>2889250</v>
      </c>
      <c r="J96" s="1082">
        <f t="shared" ref="J96:J101" si="2">I96/$G$104</f>
        <v>2.4540206519778025E-2</v>
      </c>
      <c r="M96"/>
      <c r="P96" s="514"/>
      <c r="Q96" s="514"/>
    </row>
    <row r="97" spans="1:20" s="512" customFormat="1" ht="14.65" customHeight="1" thickBot="1">
      <c r="C97" s="654" t="s">
        <v>54</v>
      </c>
      <c r="D97" s="655"/>
      <c r="E97" s="505">
        <v>107029</v>
      </c>
      <c r="F97" s="1082">
        <v>9.8541796125016425E-4</v>
      </c>
      <c r="G97" s="505">
        <v>139735</v>
      </c>
      <c r="H97" s="1082">
        <v>1.2548392274034819E-3</v>
      </c>
      <c r="I97" s="1383">
        <v>166059</v>
      </c>
      <c r="J97" s="1082">
        <f t="shared" si="2"/>
        <v>1.4104429019530394E-3</v>
      </c>
      <c r="L97" s="516"/>
      <c r="M97" s="518"/>
      <c r="N97" s="513"/>
      <c r="P97" s="514"/>
      <c r="Q97" s="514"/>
    </row>
    <row r="98" spans="1:20" s="512" customFormat="1" ht="14.65" customHeight="1" thickBot="1">
      <c r="C98" s="654" t="s">
        <v>312</v>
      </c>
      <c r="D98" s="655"/>
      <c r="E98" s="505">
        <v>2043243</v>
      </c>
      <c r="F98" s="1082">
        <v>1.8812175685082262E-2</v>
      </c>
      <c r="G98" s="505">
        <v>2045975</v>
      </c>
      <c r="H98" s="1082">
        <v>1.8373132631673089E-2</v>
      </c>
      <c r="I98" s="1383">
        <v>2462507</v>
      </c>
      <c r="J98" s="1082">
        <f t="shared" si="2"/>
        <v>2.0915611434247305E-2</v>
      </c>
      <c r="K98" s="517"/>
      <c r="M98" s="516"/>
      <c r="O98" s="513"/>
      <c r="Q98" s="514"/>
      <c r="R98" s="514"/>
    </row>
    <row r="99" spans="1:20" s="136" customFormat="1" ht="12.75" thickBot="1">
      <c r="C99" s="677" t="s">
        <v>311</v>
      </c>
      <c r="D99" s="678"/>
      <c r="E99" s="505">
        <v>497950</v>
      </c>
      <c r="F99" s="1082">
        <v>4.5846347607145666E-3</v>
      </c>
      <c r="G99" s="505">
        <v>549672</v>
      </c>
      <c r="H99" s="1082">
        <v>4.9361290142435803E-3</v>
      </c>
      <c r="I99" s="1383">
        <v>669886</v>
      </c>
      <c r="J99" s="1082">
        <f t="shared" si="2"/>
        <v>5.6897605900174866E-3</v>
      </c>
      <c r="K99" s="255"/>
      <c r="M99" s="256"/>
      <c r="O99" s="257"/>
      <c r="Q99" s="503"/>
      <c r="R99" s="503"/>
    </row>
    <row r="100" spans="1:20" s="136" customFormat="1" ht="12.75" thickBot="1">
      <c r="C100" s="677" t="s">
        <v>589</v>
      </c>
      <c r="D100" s="678"/>
      <c r="E100" s="505">
        <v>19972</v>
      </c>
      <c r="F100" s="1082">
        <v>1.8388256941659066E-4</v>
      </c>
      <c r="G100" s="505">
        <v>16980</v>
      </c>
      <c r="H100" s="1082">
        <v>1.5248269997717912E-4</v>
      </c>
      <c r="I100" s="1383"/>
      <c r="J100" s="1082">
        <f t="shared" si="2"/>
        <v>0</v>
      </c>
      <c r="K100" s="255"/>
      <c r="M100" s="256"/>
      <c r="O100" s="257"/>
      <c r="Q100" s="503"/>
      <c r="R100" s="503"/>
    </row>
    <row r="101" spans="1:20" s="136" customFormat="1" ht="24" customHeight="1" thickBot="1">
      <c r="A101" s="38"/>
      <c r="B101" s="38"/>
      <c r="C101" s="519"/>
      <c r="D101" s="519"/>
      <c r="E101" s="1397">
        <v>4430302</v>
      </c>
      <c r="F101" s="1398">
        <v>4.0789871572774909E-2</v>
      </c>
      <c r="G101" s="1397">
        <v>4825533</v>
      </c>
      <c r="H101" s="1398">
        <v>4.3333939968726566E-2</v>
      </c>
      <c r="I101" s="667">
        <f>SUM(I96:I100)</f>
        <v>6187702</v>
      </c>
      <c r="J101" s="1398">
        <f t="shared" si="2"/>
        <v>5.255602144599586E-2</v>
      </c>
      <c r="K101" s="38"/>
      <c r="L101" s="38"/>
      <c r="M101" s="38"/>
      <c r="N101" s="38"/>
      <c r="Q101" s="503"/>
      <c r="R101" s="503"/>
    </row>
    <row r="102" spans="1:20" s="136" customFormat="1" ht="24" customHeight="1" thickBot="1">
      <c r="A102" s="38"/>
      <c r="B102" s="38"/>
      <c r="K102" s="38"/>
      <c r="L102" s="38"/>
      <c r="M102" s="38"/>
      <c r="N102" s="38"/>
      <c r="Q102" s="503"/>
      <c r="R102" s="503"/>
    </row>
    <row r="103" spans="1:20" s="136" customFormat="1" ht="24" customHeight="1" thickBot="1">
      <c r="A103" s="38"/>
      <c r="B103" s="38"/>
      <c r="E103" s="635">
        <v>2020</v>
      </c>
      <c r="F103" s="635">
        <v>2021</v>
      </c>
      <c r="G103" s="635">
        <v>2022</v>
      </c>
      <c r="K103" s="38"/>
      <c r="L103" s="38"/>
      <c r="M103" s="38"/>
      <c r="N103" s="38"/>
      <c r="Q103" s="503"/>
      <c r="R103" s="503"/>
    </row>
    <row r="104" spans="1:20" s="136" customFormat="1" ht="24" customHeight="1" thickBot="1">
      <c r="A104" s="38"/>
      <c r="B104" s="38"/>
      <c r="D104" s="655" t="s">
        <v>869</v>
      </c>
      <c r="E104" s="1083">
        <v>108612796</v>
      </c>
      <c r="F104" s="1083">
        <v>111356894.9299905</v>
      </c>
      <c r="G104" s="1491">
        <f>E34</f>
        <v>117735358</v>
      </c>
      <c r="K104" s="38"/>
      <c r="L104" s="38"/>
      <c r="M104" s="38"/>
      <c r="N104" s="38"/>
      <c r="Q104" s="503"/>
      <c r="R104" s="503"/>
    </row>
    <row r="105" spans="1:20" s="136" customFormat="1" ht="24" customHeight="1" thickBot="1">
      <c r="A105" s="38"/>
      <c r="B105" s="38"/>
      <c r="C105" s="38"/>
      <c r="D105" s="655" t="s">
        <v>872</v>
      </c>
      <c r="E105" s="1400">
        <v>597</v>
      </c>
      <c r="F105" s="1400">
        <v>609</v>
      </c>
      <c r="G105" s="1492">
        <v>613</v>
      </c>
      <c r="H105" s="794"/>
      <c r="I105" s="38"/>
      <c r="J105" s="38"/>
      <c r="K105" s="38"/>
      <c r="L105" s="38"/>
      <c r="M105" s="38"/>
      <c r="N105" s="38"/>
      <c r="Q105" s="503"/>
      <c r="R105" s="503"/>
    </row>
    <row r="106" spans="1:20" s="136" customFormat="1" ht="24" customHeight="1" thickBot="1">
      <c r="A106" s="38"/>
      <c r="B106" s="38"/>
      <c r="C106" s="38"/>
      <c r="D106" s="655" t="s">
        <v>870</v>
      </c>
      <c r="E106" s="1401">
        <v>585243</v>
      </c>
      <c r="F106" s="1401">
        <v>587844</v>
      </c>
      <c r="G106" s="1493">
        <v>606102</v>
      </c>
      <c r="H106" s="794"/>
      <c r="I106" s="38"/>
      <c r="J106" s="38"/>
      <c r="K106" s="38"/>
      <c r="L106" s="38"/>
      <c r="M106" s="38"/>
      <c r="N106" s="38"/>
      <c r="Q106" s="503"/>
      <c r="R106" s="503"/>
    </row>
    <row r="107" spans="1:20" s="136" customFormat="1" ht="24" customHeight="1" thickBot="1">
      <c r="A107" s="38"/>
      <c r="B107" s="38"/>
      <c r="C107" s="38"/>
      <c r="D107" s="678" t="s">
        <v>871</v>
      </c>
      <c r="E107" s="1402">
        <v>5.3883430088661009E-3</v>
      </c>
      <c r="F107" s="1402">
        <v>5.2789187447223138E-3</v>
      </c>
      <c r="G107" s="1494">
        <f>G106/G104</f>
        <v>5.1480032022325865E-3</v>
      </c>
      <c r="H107" s="794"/>
      <c r="I107" s="38"/>
      <c r="J107" s="38"/>
      <c r="K107" s="38"/>
      <c r="L107" s="38"/>
      <c r="M107" s="38"/>
      <c r="N107" s="38"/>
      <c r="Q107" s="503"/>
      <c r="R107" s="503"/>
    </row>
    <row r="108" spans="1:20" s="136" customFormat="1" ht="24" customHeight="1">
      <c r="A108" s="38"/>
      <c r="B108" s="38"/>
      <c r="C108" s="38"/>
      <c r="H108" s="794"/>
      <c r="I108" s="38"/>
      <c r="J108" s="38"/>
      <c r="K108" s="38"/>
      <c r="L108" s="38"/>
      <c r="M108" s="38"/>
      <c r="N108" s="38"/>
      <c r="Q108" s="503"/>
      <c r="R108" s="503"/>
    </row>
    <row r="109" spans="1:20" s="136" customFormat="1" ht="24" customHeight="1">
      <c r="A109" s="266"/>
      <c r="B109" s="266"/>
      <c r="C109" s="266"/>
      <c r="D109" s="266"/>
      <c r="E109" s="266"/>
      <c r="F109" s="266"/>
      <c r="I109" s="266"/>
      <c r="J109" s="266"/>
      <c r="K109" s="266"/>
      <c r="L109" s="266"/>
      <c r="M109" s="266"/>
      <c r="N109" s="266"/>
      <c r="Q109" s="503"/>
      <c r="R109" s="503"/>
    </row>
    <row r="110" spans="1:20" ht="21">
      <c r="A110" s="174" t="s">
        <v>656</v>
      </c>
      <c r="B110" s="174"/>
      <c r="O110" s="136"/>
      <c r="P110" s="136"/>
      <c r="Q110" s="503"/>
      <c r="R110" s="503"/>
      <c r="S110" s="136"/>
      <c r="T110" s="136"/>
    </row>
    <row r="111" spans="1:20">
      <c r="O111" s="136"/>
      <c r="P111" s="136"/>
      <c r="Q111" s="503"/>
      <c r="R111" s="503"/>
      <c r="S111" s="136"/>
      <c r="T111" s="136"/>
    </row>
    <row r="112" spans="1:20">
      <c r="A112" s="1028" t="s">
        <v>1110</v>
      </c>
      <c r="B112" s="1028"/>
      <c r="O112" s="136"/>
      <c r="P112" s="136"/>
      <c r="Q112" s="503"/>
      <c r="R112" s="503"/>
      <c r="S112" s="136"/>
      <c r="T112" s="136"/>
    </row>
    <row r="113" spans="1:20">
      <c r="O113" s="136"/>
      <c r="P113" s="136"/>
      <c r="Q113" s="503"/>
      <c r="R113" s="503"/>
      <c r="S113" s="136"/>
      <c r="T113" s="136"/>
    </row>
    <row r="114" spans="1:20" ht="30" customHeight="1">
      <c r="B114" s="1202" t="s">
        <v>1113</v>
      </c>
      <c r="O114" s="136"/>
      <c r="P114" s="136"/>
      <c r="Q114" s="503"/>
      <c r="R114" s="503"/>
      <c r="S114" s="136"/>
      <c r="T114" s="136"/>
    </row>
    <row r="115" spans="1:20" ht="12" customHeight="1">
      <c r="A115" s="167"/>
      <c r="G115" s="343"/>
      <c r="H115" s="343"/>
      <c r="O115" s="136"/>
      <c r="P115" s="136"/>
      <c r="Q115" s="503"/>
      <c r="R115" s="503"/>
      <c r="S115" s="504"/>
      <c r="T115" s="136"/>
    </row>
    <row r="116" spans="1:20" ht="12" customHeight="1" thickBot="1">
      <c r="B116" s="167"/>
      <c r="E116" s="1403" t="s">
        <v>150</v>
      </c>
      <c r="F116" s="1404"/>
      <c r="G116" s="332"/>
      <c r="H116" s="332"/>
      <c r="O116" s="136"/>
      <c r="P116" s="434"/>
      <c r="Q116" s="503"/>
      <c r="R116" s="503"/>
      <c r="S116" s="136"/>
      <c r="T116" s="136"/>
    </row>
    <row r="117" spans="1:20" ht="12.75" thickBot="1">
      <c r="B117" s="512">
        <v>2021</v>
      </c>
      <c r="C117" s="520" t="s">
        <v>152</v>
      </c>
      <c r="D117" s="520" t="s">
        <v>151</v>
      </c>
      <c r="E117" s="520" t="s">
        <v>89</v>
      </c>
      <c r="F117" s="520" t="s">
        <v>88</v>
      </c>
      <c r="G117" s="332"/>
      <c r="H117" s="332"/>
      <c r="O117" s="136"/>
      <c r="P117" s="434"/>
      <c r="Q117" s="503"/>
      <c r="R117" s="503"/>
      <c r="S117" s="136"/>
      <c r="T117" s="136"/>
    </row>
    <row r="118" spans="1:20" ht="12" customHeight="1" thickBot="1">
      <c r="B118" s="508" t="s">
        <v>148</v>
      </c>
      <c r="C118" s="1399">
        <v>3081533.11</v>
      </c>
      <c r="D118" s="1466">
        <v>74415.19</v>
      </c>
      <c r="E118" s="1466">
        <v>369</v>
      </c>
      <c r="F118" s="1466">
        <v>234</v>
      </c>
      <c r="N118" s="788"/>
      <c r="O118" s="789"/>
      <c r="P118" s="434"/>
      <c r="Q118" s="503"/>
      <c r="R118" s="503"/>
      <c r="S118" s="136"/>
      <c r="T118" s="136"/>
    </row>
    <row r="119" spans="1:20" ht="13.5" thickBot="1">
      <c r="A119" s="167"/>
      <c r="B119" s="521" t="s">
        <v>149</v>
      </c>
      <c r="C119" s="1399">
        <v>3143967.48</v>
      </c>
      <c r="D119" s="1466">
        <v>75922.83</v>
      </c>
      <c r="E119" s="1466">
        <v>963</v>
      </c>
      <c r="F119" s="1466">
        <v>739</v>
      </c>
      <c r="N119" s="789"/>
      <c r="O119" s="434"/>
      <c r="P119" s="503"/>
      <c r="Q119" s="503"/>
      <c r="R119" s="136"/>
      <c r="S119" s="136"/>
    </row>
    <row r="120" spans="1:20" ht="13.5" thickBot="1">
      <c r="A120" s="512"/>
      <c r="B120" s="512"/>
      <c r="C120" s="1467">
        <f>SUM(C118:C119)</f>
        <v>6225500.5899999999</v>
      </c>
      <c r="D120" s="1468">
        <f>SUM(D118:D119)</f>
        <v>150338.02000000002</v>
      </c>
      <c r="E120" s="1468">
        <f>SUM(E118:E119)</f>
        <v>1332</v>
      </c>
      <c r="F120" s="1468">
        <f>SUM(F118:F119)</f>
        <v>973</v>
      </c>
      <c r="N120" s="789"/>
      <c r="O120" s="434"/>
      <c r="P120" s="503"/>
      <c r="Q120" s="503"/>
      <c r="R120" s="136"/>
      <c r="S120" s="136"/>
    </row>
    <row r="121" spans="1:20" ht="12.75">
      <c r="N121" s="789"/>
      <c r="O121" s="434"/>
      <c r="P121" s="503"/>
      <c r="Q121" s="503"/>
      <c r="R121" s="136"/>
      <c r="S121" s="136"/>
    </row>
    <row r="122" spans="1:20" ht="12.75">
      <c r="N122" s="789"/>
      <c r="O122" s="434"/>
      <c r="P122" s="503"/>
      <c r="Q122" s="503"/>
      <c r="R122" s="136"/>
      <c r="S122" s="136"/>
    </row>
    <row r="123" spans="1:20" ht="12.75">
      <c r="A123" s="512"/>
      <c r="N123" s="789"/>
      <c r="O123" s="434"/>
      <c r="P123" s="503"/>
      <c r="Q123" s="503"/>
      <c r="R123" s="136"/>
      <c r="S123" s="136"/>
    </row>
    <row r="124" spans="1:20" ht="12.75">
      <c r="A124" s="512"/>
      <c r="B124" s="512"/>
      <c r="C124" s="512"/>
      <c r="N124" s="790"/>
      <c r="O124" s="789"/>
      <c r="P124" s="434"/>
      <c r="Q124" s="503"/>
      <c r="R124" s="503"/>
      <c r="S124" s="136"/>
      <c r="T124" s="136"/>
    </row>
    <row r="125" spans="1:20" ht="12.75">
      <c r="A125" s="512"/>
      <c r="N125" s="789"/>
      <c r="O125" s="434"/>
      <c r="P125" s="501"/>
      <c r="R125" s="56"/>
    </row>
    <row r="126" spans="1:20" ht="26.25">
      <c r="B126" s="1202" t="s">
        <v>1112</v>
      </c>
      <c r="N126" s="790"/>
      <c r="O126" s="789"/>
      <c r="P126" s="434"/>
    </row>
    <row r="127" spans="1:20" ht="13.5" thickBot="1">
      <c r="E127" s="190"/>
      <c r="N127" s="790"/>
      <c r="O127" s="789"/>
      <c r="P127" s="434"/>
    </row>
    <row r="128" spans="1:20" ht="12.75" thickBot="1">
      <c r="B128" s="167"/>
      <c r="E128" s="1405" t="s">
        <v>150</v>
      </c>
      <c r="F128" s="1406"/>
    </row>
    <row r="129" spans="1:20" ht="12.75" thickBot="1">
      <c r="B129" s="512">
        <v>2021</v>
      </c>
      <c r="C129" s="520" t="s">
        <v>152</v>
      </c>
      <c r="D129" s="520" t="s">
        <v>151</v>
      </c>
      <c r="E129" s="520" t="s">
        <v>89</v>
      </c>
      <c r="F129" s="520" t="s">
        <v>88</v>
      </c>
    </row>
    <row r="130" spans="1:20" ht="12.75" thickBot="1">
      <c r="B130" s="508" t="s">
        <v>148</v>
      </c>
      <c r="C130" s="1083">
        <v>3078924.2799999965</v>
      </c>
      <c r="D130" s="1200">
        <v>74352.190000000061</v>
      </c>
      <c r="E130" s="1200">
        <v>366</v>
      </c>
      <c r="F130" s="1200">
        <v>233</v>
      </c>
    </row>
    <row r="131" spans="1:20" ht="13.5" thickBot="1">
      <c r="B131" s="521" t="s">
        <v>149</v>
      </c>
      <c r="C131" s="1083">
        <v>3125249.2899999949</v>
      </c>
      <c r="D131" s="1200">
        <v>75470.810000000041</v>
      </c>
      <c r="E131" s="1200">
        <v>951</v>
      </c>
      <c r="F131" s="1200">
        <v>724</v>
      </c>
      <c r="N131" s="790"/>
      <c r="O131" s="789"/>
    </row>
    <row r="132" spans="1:20" ht="13.5" thickBot="1">
      <c r="B132" s="512"/>
      <c r="C132" s="1084">
        <f>SUM(C130:C131)</f>
        <v>6204173.569999991</v>
      </c>
      <c r="D132" s="1201">
        <f>SUM(D130:D131)</f>
        <v>149823.00000000012</v>
      </c>
      <c r="E132" s="1201">
        <f>SUM(E130:E131)</f>
        <v>1317</v>
      </c>
      <c r="F132" s="1201">
        <f>SUM(F130:F131)</f>
        <v>957</v>
      </c>
      <c r="N132" s="791"/>
      <c r="O132" s="789"/>
    </row>
    <row r="133" spans="1:20" ht="12.75">
      <c r="N133" s="790"/>
      <c r="O133" s="789"/>
    </row>
    <row r="134" spans="1:20" ht="12.75">
      <c r="N134" s="790"/>
      <c r="O134" s="789"/>
    </row>
    <row r="135" spans="1:20" ht="12.75">
      <c r="N135" s="791"/>
      <c r="O135" s="789"/>
      <c r="Q135" s="56"/>
      <c r="R135" s="56"/>
    </row>
    <row r="136" spans="1:20" s="434" customFormat="1" ht="26.25">
      <c r="B136" s="1202" t="s">
        <v>1111</v>
      </c>
      <c r="C136" s="56"/>
      <c r="D136" s="56"/>
      <c r="E136" s="56"/>
      <c r="F136" s="56"/>
      <c r="N136" s="790"/>
      <c r="O136" s="792"/>
      <c r="P136" s="432"/>
      <c r="Q136" s="432"/>
      <c r="R136" s="56"/>
      <c r="S136" s="56"/>
      <c r="T136" s="56"/>
    </row>
    <row r="137" spans="1:20" s="434" customFormat="1" ht="16.5" customHeight="1" thickBot="1">
      <c r="B137" s="56"/>
      <c r="C137" s="56"/>
      <c r="D137" s="56"/>
      <c r="E137" s="56"/>
      <c r="F137" s="56"/>
      <c r="N137" s="790"/>
      <c r="O137" s="611"/>
      <c r="P137" s="432"/>
      <c r="Q137" s="56"/>
      <c r="R137" s="56"/>
      <c r="S137" s="56"/>
      <c r="T137" s="56"/>
    </row>
    <row r="138" spans="1:20" s="434" customFormat="1" ht="16.5" customHeight="1" thickBot="1">
      <c r="B138" s="512">
        <v>2020</v>
      </c>
      <c r="C138" s="520" t="s">
        <v>152</v>
      </c>
      <c r="D138" s="520" t="s">
        <v>151</v>
      </c>
      <c r="E138" s="1407" t="s">
        <v>150</v>
      </c>
      <c r="N138" s="790"/>
      <c r="O138" s="611"/>
      <c r="P138" s="432"/>
      <c r="Q138" s="56"/>
      <c r="R138" s="56"/>
      <c r="S138" s="56"/>
      <c r="T138" s="56"/>
    </row>
    <row r="139" spans="1:20" s="434" customFormat="1" ht="16.5" customHeight="1" thickBot="1">
      <c r="B139" s="508" t="s">
        <v>148</v>
      </c>
      <c r="C139" s="1083">
        <v>3175393.63</v>
      </c>
      <c r="D139" s="1200">
        <v>67466.28</v>
      </c>
      <c r="E139" s="1200">
        <v>584</v>
      </c>
      <c r="N139" s="790"/>
      <c r="O139" s="792"/>
      <c r="P139" s="432"/>
      <c r="Q139" s="56"/>
      <c r="R139" s="56"/>
      <c r="S139" s="56"/>
      <c r="T139" s="56"/>
    </row>
    <row r="140" spans="1:20" ht="13.5" thickBot="1">
      <c r="B140" s="521" t="s">
        <v>149</v>
      </c>
      <c r="C140" s="1083">
        <v>4515577.24</v>
      </c>
      <c r="D140" s="1200">
        <v>90131</v>
      </c>
      <c r="E140" s="1200">
        <v>1920</v>
      </c>
      <c r="F140" s="434"/>
      <c r="N140" s="790"/>
      <c r="O140" s="611"/>
      <c r="P140" s="432"/>
      <c r="Q140" s="56"/>
      <c r="R140" s="56"/>
    </row>
    <row r="141" spans="1:20" ht="13.5" thickBot="1">
      <c r="B141" s="512"/>
      <c r="C141" s="1084">
        <v>7690970.8700000001</v>
      </c>
      <c r="D141" s="1201">
        <v>157597.28</v>
      </c>
      <c r="E141" s="1201">
        <v>2504</v>
      </c>
      <c r="F141" s="434"/>
      <c r="N141" s="1048"/>
      <c r="O141" s="611"/>
      <c r="P141" s="432"/>
      <c r="Q141" s="56"/>
      <c r="R141" s="56"/>
    </row>
    <row r="142" spans="1:20" ht="12.75">
      <c r="O142" s="432"/>
      <c r="P142" s="432"/>
      <c r="Q142" s="56"/>
      <c r="R142" s="56"/>
    </row>
    <row r="144" spans="1:20" ht="21">
      <c r="A144" s="174" t="s">
        <v>417</v>
      </c>
      <c r="B144" s="174"/>
    </row>
    <row r="145" spans="1:13" ht="11.25" customHeight="1"/>
    <row r="146" spans="1:13" ht="11.25" customHeight="1"/>
    <row r="147" spans="1:13" ht="11.25" customHeight="1"/>
    <row r="151" spans="1:13" ht="15">
      <c r="B151" s="201" t="s">
        <v>418</v>
      </c>
      <c r="C151" s="400"/>
      <c r="D151" s="400"/>
      <c r="E151" s="400"/>
      <c r="F151" s="400"/>
      <c r="G151" s="400"/>
      <c r="H151" s="400"/>
      <c r="I151" s="201" t="s">
        <v>419</v>
      </c>
      <c r="J151" s="400"/>
      <c r="K151" s="400"/>
      <c r="L151" s="400"/>
      <c r="M151" s="400"/>
    </row>
    <row r="152" spans="1:13" ht="12.75">
      <c r="A152" s="400"/>
      <c r="B152" s="400"/>
      <c r="C152" s="400"/>
      <c r="D152" s="400"/>
      <c r="E152" s="400"/>
      <c r="F152" s="400"/>
      <c r="G152" s="400"/>
      <c r="H152" s="400"/>
      <c r="I152" s="400"/>
      <c r="J152" s="400"/>
      <c r="K152" s="400"/>
      <c r="L152" s="400"/>
      <c r="M152" s="400"/>
    </row>
    <row r="153" spans="1:13" ht="13.5" thickBot="1">
      <c r="A153" s="434"/>
      <c r="B153" s="289" t="s">
        <v>819</v>
      </c>
      <c r="C153" s="663" t="s">
        <v>87</v>
      </c>
      <c r="D153" s="663" t="s">
        <v>130</v>
      </c>
      <c r="E153" s="663" t="s">
        <v>47</v>
      </c>
      <c r="F153" s="663" t="s">
        <v>420</v>
      </c>
      <c r="G153" s="451"/>
      <c r="H153" s="451"/>
      <c r="I153" s="290">
        <v>2020</v>
      </c>
      <c r="J153" s="663" t="s">
        <v>87</v>
      </c>
      <c r="K153" s="663" t="s">
        <v>130</v>
      </c>
      <c r="L153" s="663" t="s">
        <v>47</v>
      </c>
      <c r="M153" s="663" t="s">
        <v>420</v>
      </c>
    </row>
    <row r="154" spans="1:13" ht="13.5" thickBot="1">
      <c r="A154" s="434"/>
      <c r="B154" s="453" t="s">
        <v>267</v>
      </c>
      <c r="C154" s="1050">
        <v>10</v>
      </c>
      <c r="D154" s="1050">
        <v>11</v>
      </c>
      <c r="E154" s="1050">
        <f>SUM(C154:D154)</f>
        <v>21</v>
      </c>
      <c r="F154" s="1051">
        <v>14942</v>
      </c>
      <c r="G154" s="451"/>
      <c r="H154" s="451"/>
      <c r="I154" s="453" t="s">
        <v>267</v>
      </c>
      <c r="J154" s="1050">
        <v>10</v>
      </c>
      <c r="K154" s="1050">
        <v>4</v>
      </c>
      <c r="L154" s="1050">
        <f>SUM(J154:K154)</f>
        <v>14</v>
      </c>
      <c r="M154" s="1051">
        <v>2458</v>
      </c>
    </row>
    <row r="155" spans="1:13" ht="13.5" thickBot="1">
      <c r="A155" s="434"/>
      <c r="B155" s="453" t="s">
        <v>171</v>
      </c>
      <c r="C155" s="1050">
        <v>7</v>
      </c>
      <c r="D155" s="1050">
        <v>11</v>
      </c>
      <c r="E155" s="1050">
        <f>SUM(C155:D155)</f>
        <v>18</v>
      </c>
      <c r="F155" s="1051">
        <v>4855</v>
      </c>
      <c r="G155" s="451"/>
      <c r="H155" s="451"/>
      <c r="I155" s="453" t="s">
        <v>171</v>
      </c>
      <c r="J155" s="1050">
        <v>16</v>
      </c>
      <c r="K155" s="1050">
        <v>5</v>
      </c>
      <c r="L155" s="1050">
        <f>SUM(J155:K155)</f>
        <v>21</v>
      </c>
      <c r="M155" s="1051">
        <v>764</v>
      </c>
    </row>
    <row r="156" spans="1:13" ht="12.75">
      <c r="A156" s="434"/>
      <c r="B156" s="452" t="s">
        <v>47</v>
      </c>
      <c r="C156" s="663">
        <f>SUM(C154:C155)</f>
        <v>17</v>
      </c>
      <c r="D156" s="663">
        <f>SUM(D154:D155)</f>
        <v>22</v>
      </c>
      <c r="E156" s="663">
        <f>SUM(E154:E155)</f>
        <v>39</v>
      </c>
      <c r="F156" s="1199">
        <f>SUM(F154:F155)</f>
        <v>19797</v>
      </c>
      <c r="G156" s="451"/>
      <c r="H156" s="451"/>
      <c r="I156" s="452" t="s">
        <v>47</v>
      </c>
      <c r="J156" s="663">
        <f>SUM(J154:J155)</f>
        <v>26</v>
      </c>
      <c r="K156" s="663">
        <f>SUM(K154:K155)</f>
        <v>9</v>
      </c>
      <c r="L156" s="663">
        <f>SUM(L154:L155)</f>
        <v>35</v>
      </c>
      <c r="M156" s="1199">
        <f>SUM(M154:M155)</f>
        <v>3222</v>
      </c>
    </row>
    <row r="157" spans="1:13" ht="12.75">
      <c r="B157" s="423"/>
      <c r="C157" s="423"/>
      <c r="D157" s="423"/>
      <c r="E157" s="423"/>
      <c r="F157" s="423"/>
      <c r="G157" s="423"/>
      <c r="H157" s="423"/>
      <c r="I157" s="423"/>
      <c r="J157" s="423"/>
      <c r="K157" s="423"/>
      <c r="L157" s="423"/>
      <c r="M157" s="423"/>
    </row>
    <row r="158" spans="1:13" ht="13.5" thickBot="1">
      <c r="A158" s="434"/>
      <c r="B158" s="289" t="s">
        <v>972</v>
      </c>
      <c r="C158" s="663" t="s">
        <v>87</v>
      </c>
      <c r="D158" s="663" t="s">
        <v>130</v>
      </c>
      <c r="E158" s="663" t="s">
        <v>47</v>
      </c>
      <c r="F158" s="663" t="s">
        <v>420</v>
      </c>
      <c r="G158" s="451"/>
      <c r="H158" s="451"/>
      <c r="I158" s="290">
        <v>2021</v>
      </c>
      <c r="J158" s="663" t="s">
        <v>87</v>
      </c>
      <c r="K158" s="663" t="s">
        <v>130</v>
      </c>
      <c r="L158" s="663" t="s">
        <v>47</v>
      </c>
      <c r="M158" s="663" t="s">
        <v>420</v>
      </c>
    </row>
    <row r="159" spans="1:13" ht="13.5" thickBot="1">
      <c r="A159" s="434"/>
      <c r="B159" s="453" t="s">
        <v>267</v>
      </c>
      <c r="C159" s="1050">
        <v>8</v>
      </c>
      <c r="D159" s="1050">
        <v>21</v>
      </c>
      <c r="E159" s="1050">
        <f>SUM(C159:D159)</f>
        <v>29</v>
      </c>
      <c r="F159" s="1051">
        <v>23265</v>
      </c>
      <c r="G159" s="451"/>
      <c r="H159" s="451"/>
      <c r="I159" s="453" t="s">
        <v>267</v>
      </c>
      <c r="J159" s="1050">
        <v>4</v>
      </c>
      <c r="K159" s="1050">
        <v>2</v>
      </c>
      <c r="L159" s="1050">
        <f>SUM(J159:K159)</f>
        <v>6</v>
      </c>
      <c r="M159" s="1051">
        <v>2652</v>
      </c>
    </row>
    <row r="160" spans="1:13" ht="13.5" thickBot="1">
      <c r="A160" s="434"/>
      <c r="B160" s="453" t="s">
        <v>171</v>
      </c>
      <c r="C160" s="1050">
        <v>8</v>
      </c>
      <c r="D160" s="1050">
        <v>13</v>
      </c>
      <c r="E160" s="1050">
        <f>SUM(C160:D160)</f>
        <v>21</v>
      </c>
      <c r="F160" s="1051">
        <v>13566</v>
      </c>
      <c r="G160" s="451"/>
      <c r="H160" s="451"/>
      <c r="I160" s="453" t="s">
        <v>171</v>
      </c>
      <c r="J160" s="1050">
        <v>14</v>
      </c>
      <c r="K160" s="1050">
        <v>4</v>
      </c>
      <c r="L160" s="1050">
        <f>SUM(J160:K160)</f>
        <v>18</v>
      </c>
      <c r="M160" s="1051">
        <v>2208</v>
      </c>
    </row>
    <row r="161" spans="1:13" ht="12.75">
      <c r="A161" s="434"/>
      <c r="B161" s="452" t="s">
        <v>47</v>
      </c>
      <c r="C161" s="663">
        <f>SUM(C159:C160)</f>
        <v>16</v>
      </c>
      <c r="D161" s="663">
        <f>SUM(D159:D160)</f>
        <v>34</v>
      </c>
      <c r="E161" s="663">
        <f>SUM(E159:E160)</f>
        <v>50</v>
      </c>
      <c r="F161" s="1049">
        <f>SUM(F159:F160)</f>
        <v>36831</v>
      </c>
      <c r="G161" s="451"/>
      <c r="H161" s="451"/>
      <c r="I161" s="452" t="s">
        <v>47</v>
      </c>
      <c r="J161" s="663">
        <f>SUM(J159:J160)</f>
        <v>18</v>
      </c>
      <c r="K161" s="663">
        <f>SUM(K159:K160)</f>
        <v>6</v>
      </c>
      <c r="L161" s="663">
        <f>SUM(L159:L160)</f>
        <v>24</v>
      </c>
      <c r="M161" s="1049">
        <f>SUM(M159:M160)</f>
        <v>4860</v>
      </c>
    </row>
    <row r="162" spans="1:13" ht="12.75">
      <c r="B162" s="423"/>
      <c r="C162" s="423"/>
      <c r="D162" s="423"/>
      <c r="E162" s="423"/>
      <c r="F162" s="423"/>
      <c r="G162" s="423"/>
      <c r="H162" s="423"/>
      <c r="I162" s="423"/>
      <c r="J162" s="423"/>
      <c r="K162" s="423"/>
      <c r="L162" s="423"/>
      <c r="M162" s="423"/>
    </row>
    <row r="163" spans="1:13" ht="13.5" thickBot="1">
      <c r="B163" s="289" t="s">
        <v>1114</v>
      </c>
      <c r="C163" s="663" t="s">
        <v>87</v>
      </c>
      <c r="D163" s="663" t="s">
        <v>130</v>
      </c>
      <c r="E163" s="663" t="s">
        <v>47</v>
      </c>
      <c r="F163" s="663" t="s">
        <v>420</v>
      </c>
      <c r="G163" s="451"/>
      <c r="H163" s="451"/>
      <c r="I163" s="290">
        <v>2022</v>
      </c>
      <c r="J163" s="663" t="s">
        <v>87</v>
      </c>
      <c r="K163" s="663" t="s">
        <v>130</v>
      </c>
      <c r="L163" s="663" t="s">
        <v>47</v>
      </c>
      <c r="M163" s="663" t="s">
        <v>420</v>
      </c>
    </row>
    <row r="164" spans="1:13" ht="13.5" thickBot="1">
      <c r="B164" s="453" t="s">
        <v>267</v>
      </c>
      <c r="C164" s="1469">
        <v>12</v>
      </c>
      <c r="D164" s="1469">
        <v>20</v>
      </c>
      <c r="E164" s="1050">
        <f>SUM(C164:D164)</f>
        <v>32</v>
      </c>
      <c r="F164" s="1051">
        <v>53069.64</v>
      </c>
      <c r="G164" s="451"/>
      <c r="H164" s="451"/>
      <c r="I164" s="453" t="s">
        <v>267</v>
      </c>
      <c r="J164" s="1350">
        <v>31</v>
      </c>
      <c r="K164" s="1350">
        <v>16</v>
      </c>
      <c r="L164" s="1050">
        <f>SUM(J164:K164)</f>
        <v>47</v>
      </c>
      <c r="M164" s="1051">
        <v>12023</v>
      </c>
    </row>
    <row r="165" spans="1:13" ht="13.5" thickBot="1">
      <c r="B165" s="453" t="s">
        <v>171</v>
      </c>
      <c r="C165" s="1469">
        <v>7</v>
      </c>
      <c r="D165" s="1469">
        <v>10</v>
      </c>
      <c r="E165" s="1050">
        <f>SUM(C165:D165)</f>
        <v>17</v>
      </c>
      <c r="F165" s="1051">
        <v>18756.12</v>
      </c>
      <c r="G165" s="451"/>
      <c r="H165" s="451"/>
      <c r="I165" s="453" t="s">
        <v>171</v>
      </c>
      <c r="J165" s="1350">
        <v>6</v>
      </c>
      <c r="K165" s="1350">
        <v>1</v>
      </c>
      <c r="L165" s="1050">
        <f>SUM(J165:K165)</f>
        <v>7</v>
      </c>
      <c r="M165" s="1051">
        <v>3935</v>
      </c>
    </row>
    <row r="166" spans="1:13" ht="12.75">
      <c r="B166" s="452" t="s">
        <v>47</v>
      </c>
      <c r="C166" s="663">
        <f>SUM(C164:C165)</f>
        <v>19</v>
      </c>
      <c r="D166" s="663">
        <f>SUM(D164:D165)</f>
        <v>30</v>
      </c>
      <c r="E166" s="663">
        <f>SUM(E164:E165)</f>
        <v>49</v>
      </c>
      <c r="F166" s="1049">
        <f>SUM(F164:F165)</f>
        <v>71825.759999999995</v>
      </c>
      <c r="G166" s="451"/>
      <c r="H166" s="451"/>
      <c r="I166" s="452" t="s">
        <v>47</v>
      </c>
      <c r="J166" s="663">
        <f>SUM(J164:J165)</f>
        <v>37</v>
      </c>
      <c r="K166" s="663">
        <f>SUM(K164:K165)</f>
        <v>17</v>
      </c>
      <c r="L166" s="663">
        <f>SUM(L164:L165)</f>
        <v>54</v>
      </c>
      <c r="M166" s="1049">
        <f>SUM(M164:M165)</f>
        <v>15958</v>
      </c>
    </row>
    <row r="167" spans="1:13" ht="12.75">
      <c r="A167" s="423"/>
      <c r="B167" s="423"/>
      <c r="C167" s="423"/>
      <c r="D167" s="423"/>
      <c r="E167" s="423"/>
      <c r="F167" s="162"/>
      <c r="G167" s="672"/>
      <c r="H167" s="672"/>
      <c r="J167" s="423"/>
    </row>
    <row r="168" spans="1:13" ht="12.75">
      <c r="A168" s="423"/>
      <c r="B168" s="423"/>
      <c r="C168" s="423"/>
      <c r="D168" s="423"/>
      <c r="E168" s="423"/>
      <c r="F168" s="162"/>
      <c r="G168" s="672"/>
      <c r="H168" s="672"/>
      <c r="J168" s="423"/>
    </row>
    <row r="169" spans="1:13" ht="12.75">
      <c r="A169" s="423"/>
      <c r="B169" s="423"/>
      <c r="C169" s="423"/>
      <c r="D169" s="423"/>
      <c r="E169" s="162"/>
      <c r="F169" s="166"/>
      <c r="G169" s="486"/>
      <c r="H169" s="486"/>
      <c r="J169" s="423"/>
      <c r="K169" s="423"/>
      <c r="L169" s="423"/>
      <c r="M169" s="423"/>
    </row>
  </sheetData>
  <mergeCells count="3">
    <mergeCell ref="G75:G76"/>
    <mergeCell ref="F75:F76"/>
    <mergeCell ref="E75:E76"/>
  </mergeCells>
  <pageMargins left="0.11811023622047245" right="0.11811023622047245" top="0.35433070866141736" bottom="0.35433070866141736" header="0.31496062992125984" footer="0.31496062992125984"/>
  <pageSetup paperSize="9" scale="89" fitToHeight="0" orientation="landscape" r:id="rId1"/>
  <rowBreaks count="2" manualBreakCount="2">
    <brk id="85" max="12" man="1"/>
    <brk id="109" max="12"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A1:Z41"/>
  <sheetViews>
    <sheetView showGridLines="0" topLeftCell="A40" zoomScaleNormal="100" workbookViewId="0">
      <selection activeCell="U19" sqref="U19:U20"/>
    </sheetView>
  </sheetViews>
  <sheetFormatPr baseColWidth="10" defaultColWidth="12" defaultRowHeight="11.25"/>
  <cols>
    <col min="1" max="1" width="22.33203125" style="56" customWidth="1"/>
    <col min="2" max="8" width="5.6640625" style="56" customWidth="1"/>
    <col min="9" max="9" width="3.6640625" style="56" customWidth="1"/>
    <col min="10" max="10" width="25.5" style="56" customWidth="1"/>
    <col min="11" max="17" width="5.6640625" style="56" customWidth="1"/>
    <col min="18" max="18" width="9" style="56" customWidth="1"/>
    <col min="19" max="19" width="25.5" style="56" customWidth="1"/>
    <col min="20" max="26" width="5.6640625" style="56" customWidth="1"/>
    <col min="27" max="16384" width="12" style="56"/>
  </cols>
  <sheetData>
    <row r="1" spans="1:26" s="299" customFormat="1" ht="27" customHeight="1">
      <c r="A1" s="1071" t="s">
        <v>315</v>
      </c>
      <c r="B1" s="1071"/>
      <c r="C1" s="1071"/>
      <c r="D1" s="1071"/>
      <c r="E1" s="1071"/>
      <c r="F1" s="1071"/>
      <c r="G1" s="1071"/>
      <c r="H1" s="1071"/>
      <c r="I1" s="1071"/>
      <c r="J1" s="1071"/>
      <c r="K1" s="1071"/>
      <c r="L1" s="1071"/>
      <c r="M1" s="1071"/>
      <c r="N1" s="1071"/>
      <c r="O1" s="1071"/>
      <c r="P1" s="1071"/>
      <c r="Q1" s="1071"/>
      <c r="R1" s="1071"/>
      <c r="S1" s="1071"/>
      <c r="T1" s="1071"/>
      <c r="U1" s="1071"/>
      <c r="V1" s="1071"/>
      <c r="W1" s="1071"/>
      <c r="X1" s="1071"/>
      <c r="Y1" s="1071"/>
      <c r="Z1" s="1071"/>
    </row>
    <row r="2" spans="1:26" ht="18.600000000000001" customHeight="1">
      <c r="A2" s="174" t="s">
        <v>657</v>
      </c>
      <c r="J2" s="155"/>
      <c r="S2" s="155"/>
    </row>
    <row r="3" spans="1:26" ht="7.15" customHeight="1">
      <c r="A3" s="174"/>
      <c r="J3" s="155"/>
      <c r="S3" s="155"/>
    </row>
    <row r="4" spans="1:26" ht="15" customHeight="1">
      <c r="A4" s="533" t="s">
        <v>658</v>
      </c>
      <c r="J4" s="155"/>
      <c r="S4" s="155"/>
    </row>
    <row r="5" spans="1:26" s="693" customFormat="1" ht="18.75" customHeight="1">
      <c r="A5" s="191" t="s">
        <v>299</v>
      </c>
      <c r="J5" s="155"/>
      <c r="S5" s="155"/>
    </row>
    <row r="6" spans="1:26" ht="6.75" customHeight="1">
      <c r="A6" s="231"/>
      <c r="J6" s="155"/>
      <c r="S6" s="155"/>
    </row>
    <row r="7" spans="1:26" ht="11.25" customHeight="1">
      <c r="A7" s="1070" t="s">
        <v>835</v>
      </c>
      <c r="B7" s="1070"/>
      <c r="C7" s="1070"/>
      <c r="D7" s="1070"/>
      <c r="E7" s="1070"/>
      <c r="F7" s="1070"/>
      <c r="G7" s="1070"/>
      <c r="H7" s="1070"/>
      <c r="J7" s="1070" t="s">
        <v>997</v>
      </c>
      <c r="K7" s="1070"/>
      <c r="L7" s="1070"/>
      <c r="M7" s="1070"/>
      <c r="N7" s="1070"/>
      <c r="O7" s="1070"/>
      <c r="P7" s="1070"/>
      <c r="Q7" s="1070"/>
      <c r="R7" s="261"/>
      <c r="S7" s="1070" t="s">
        <v>1122</v>
      </c>
      <c r="T7" s="1070"/>
      <c r="U7" s="1070"/>
      <c r="V7" s="1070"/>
      <c r="W7" s="1070"/>
      <c r="X7" s="1070"/>
      <c r="Y7" s="1070"/>
      <c r="Z7" s="1070"/>
    </row>
    <row r="8" spans="1:26" ht="4.9000000000000004" customHeight="1" thickBot="1">
      <c r="A8" s="261"/>
      <c r="B8" s="261"/>
      <c r="C8" s="261"/>
      <c r="D8" s="261"/>
      <c r="E8" s="261"/>
      <c r="F8" s="261"/>
      <c r="G8" s="261"/>
      <c r="H8" s="261"/>
      <c r="J8" s="261"/>
      <c r="K8" s="261"/>
      <c r="L8" s="261"/>
      <c r="M8" s="261"/>
      <c r="N8" s="261"/>
      <c r="O8" s="261"/>
      <c r="P8" s="261"/>
      <c r="Q8" s="261"/>
      <c r="R8" s="261"/>
      <c r="S8" s="261"/>
      <c r="T8" s="261"/>
      <c r="U8" s="261"/>
      <c r="V8" s="261"/>
      <c r="W8" s="261"/>
      <c r="X8" s="261"/>
      <c r="Y8" s="261"/>
      <c r="Z8" s="261"/>
    </row>
    <row r="9" spans="1:26" s="434" customFormat="1" ht="13.9" customHeight="1" thickBot="1">
      <c r="A9" s="534" t="s">
        <v>153</v>
      </c>
      <c r="B9" s="1066" t="s">
        <v>421</v>
      </c>
      <c r="C9" s="1067"/>
      <c r="D9" s="1066" t="s">
        <v>422</v>
      </c>
      <c r="E9" s="1067"/>
      <c r="F9" s="1066" t="s">
        <v>423</v>
      </c>
      <c r="G9" s="1067"/>
      <c r="H9" s="534" t="s">
        <v>47</v>
      </c>
      <c r="I9" s="245"/>
      <c r="J9" s="534" t="s">
        <v>153</v>
      </c>
      <c r="K9" s="1066" t="s">
        <v>421</v>
      </c>
      <c r="L9" s="1067"/>
      <c r="M9" s="1066" t="s">
        <v>422</v>
      </c>
      <c r="N9" s="1067"/>
      <c r="O9" s="1066" t="s">
        <v>423</v>
      </c>
      <c r="P9" s="1067"/>
      <c r="Q9" s="534" t="s">
        <v>47</v>
      </c>
      <c r="S9" s="534" t="s">
        <v>153</v>
      </c>
      <c r="T9" s="1066" t="s">
        <v>421</v>
      </c>
      <c r="U9" s="1067"/>
      <c r="V9" s="1066" t="s">
        <v>422</v>
      </c>
      <c r="W9" s="1067"/>
      <c r="X9" s="1066" t="s">
        <v>423</v>
      </c>
      <c r="Y9" s="1067"/>
      <c r="Z9" s="534" t="s">
        <v>47</v>
      </c>
    </row>
    <row r="10" spans="1:26" s="434" customFormat="1" ht="13.9" customHeight="1" thickBot="1">
      <c r="A10" s="1069"/>
      <c r="B10" s="433" t="s">
        <v>87</v>
      </c>
      <c r="C10" s="433" t="s">
        <v>130</v>
      </c>
      <c r="D10" s="433" t="s">
        <v>87</v>
      </c>
      <c r="E10" s="433" t="s">
        <v>130</v>
      </c>
      <c r="F10" s="433" t="s">
        <v>87</v>
      </c>
      <c r="G10" s="433" t="s">
        <v>130</v>
      </c>
      <c r="H10" s="1069"/>
      <c r="I10" s="245"/>
      <c r="J10" s="1069"/>
      <c r="K10" s="433" t="s">
        <v>87</v>
      </c>
      <c r="L10" s="433" t="s">
        <v>130</v>
      </c>
      <c r="M10" s="433" t="s">
        <v>87</v>
      </c>
      <c r="N10" s="433" t="s">
        <v>130</v>
      </c>
      <c r="O10" s="433" t="s">
        <v>87</v>
      </c>
      <c r="P10" s="433" t="s">
        <v>130</v>
      </c>
      <c r="Q10" s="1069"/>
      <c r="S10" s="1069"/>
      <c r="T10" s="433" t="s">
        <v>87</v>
      </c>
      <c r="U10" s="433" t="s">
        <v>130</v>
      </c>
      <c r="V10" s="433" t="s">
        <v>87</v>
      </c>
      <c r="W10" s="433" t="s">
        <v>130</v>
      </c>
      <c r="X10" s="433" t="s">
        <v>87</v>
      </c>
      <c r="Y10" s="433" t="s">
        <v>130</v>
      </c>
      <c r="Z10" s="1069"/>
    </row>
    <row r="11" spans="1:26" s="434" customFormat="1" ht="13.9" customHeight="1" thickBot="1">
      <c r="A11" s="437" t="s">
        <v>441</v>
      </c>
      <c r="B11" s="691">
        <v>37</v>
      </c>
      <c r="C11" s="691">
        <v>13</v>
      </c>
      <c r="D11" s="691">
        <v>30</v>
      </c>
      <c r="E11" s="691">
        <v>2</v>
      </c>
      <c r="F11" s="691">
        <v>3</v>
      </c>
      <c r="G11" s="691">
        <v>1</v>
      </c>
      <c r="H11" s="436">
        <f>SUM(B11:G11)</f>
        <v>86</v>
      </c>
      <c r="I11" s="245"/>
      <c r="J11" s="437" t="s">
        <v>441</v>
      </c>
      <c r="K11" s="691">
        <v>40</v>
      </c>
      <c r="L11" s="691">
        <v>21</v>
      </c>
      <c r="M11" s="691">
        <v>32</v>
      </c>
      <c r="N11" s="691">
        <v>5</v>
      </c>
      <c r="O11" s="691">
        <v>5</v>
      </c>
      <c r="P11" s="691">
        <v>2</v>
      </c>
      <c r="Q11" s="436">
        <f>SUM(K11:P11)</f>
        <v>105</v>
      </c>
      <c r="S11" s="437" t="s">
        <v>441</v>
      </c>
      <c r="T11" s="1410">
        <v>39</v>
      </c>
      <c r="U11" s="1410">
        <v>21</v>
      </c>
      <c r="V11" s="1410">
        <v>13</v>
      </c>
      <c r="W11" s="1410"/>
      <c r="X11" s="1410">
        <v>9</v>
      </c>
      <c r="Y11" s="1410">
        <v>1</v>
      </c>
      <c r="Z11" s="436">
        <f>SUM(T11:Y11)</f>
        <v>83</v>
      </c>
    </row>
    <row r="12" spans="1:26" s="434" customFormat="1" ht="24" customHeight="1" thickBot="1">
      <c r="A12" s="438" t="s">
        <v>449</v>
      </c>
      <c r="B12" s="691">
        <v>37</v>
      </c>
      <c r="C12" s="691">
        <v>21</v>
      </c>
      <c r="D12" s="691">
        <v>56</v>
      </c>
      <c r="E12" s="691">
        <v>10</v>
      </c>
      <c r="F12" s="691">
        <v>84</v>
      </c>
      <c r="G12" s="691">
        <v>4</v>
      </c>
      <c r="H12" s="436">
        <f t="shared" ref="H12:H20" si="0">SUM(B12:G12)</f>
        <v>212</v>
      </c>
      <c r="I12" s="245"/>
      <c r="J12" s="438" t="s">
        <v>449</v>
      </c>
      <c r="K12" s="691">
        <v>33</v>
      </c>
      <c r="L12" s="691">
        <v>13</v>
      </c>
      <c r="M12" s="691">
        <v>35</v>
      </c>
      <c r="N12" s="691">
        <v>8</v>
      </c>
      <c r="O12" s="691">
        <v>56</v>
      </c>
      <c r="P12" s="691">
        <v>8</v>
      </c>
      <c r="Q12" s="436">
        <f t="shared" ref="Q12:Q20" si="1">SUM(K12:P12)</f>
        <v>153</v>
      </c>
      <c r="S12" s="438" t="s">
        <v>449</v>
      </c>
      <c r="T12" s="1410">
        <v>70</v>
      </c>
      <c r="U12" s="1410">
        <v>15</v>
      </c>
      <c r="V12" s="1410">
        <v>96</v>
      </c>
      <c r="W12" s="1410">
        <v>14</v>
      </c>
      <c r="X12" s="1410">
        <v>95</v>
      </c>
      <c r="Y12" s="1410">
        <v>18</v>
      </c>
      <c r="Z12" s="436">
        <f t="shared" ref="Z12:Z15" si="2">SUM(T12:Y12)</f>
        <v>308</v>
      </c>
    </row>
    <row r="13" spans="1:26" s="434" customFormat="1" ht="21" customHeight="1" thickBot="1">
      <c r="A13" s="437" t="s">
        <v>443</v>
      </c>
      <c r="B13" s="691">
        <v>34</v>
      </c>
      <c r="C13" s="691">
        <v>13</v>
      </c>
      <c r="D13" s="691">
        <v>67</v>
      </c>
      <c r="E13" s="691">
        <v>12</v>
      </c>
      <c r="F13" s="691">
        <v>110</v>
      </c>
      <c r="G13" s="691">
        <v>8</v>
      </c>
      <c r="H13" s="436">
        <f t="shared" si="0"/>
        <v>244</v>
      </c>
      <c r="I13" s="245"/>
      <c r="J13" s="438" t="s">
        <v>744</v>
      </c>
      <c r="K13" s="691">
        <v>26</v>
      </c>
      <c r="L13" s="691">
        <v>26</v>
      </c>
      <c r="M13" s="691">
        <v>50</v>
      </c>
      <c r="N13" s="691">
        <v>3</v>
      </c>
      <c r="O13" s="691">
        <v>115</v>
      </c>
      <c r="P13" s="691">
        <v>11</v>
      </c>
      <c r="Q13" s="436">
        <f t="shared" si="1"/>
        <v>231</v>
      </c>
      <c r="S13" s="438" t="s">
        <v>744</v>
      </c>
      <c r="T13" s="1410">
        <v>26</v>
      </c>
      <c r="U13" s="1410">
        <v>16</v>
      </c>
      <c r="V13" s="1410">
        <v>59</v>
      </c>
      <c r="W13" s="1410">
        <v>20</v>
      </c>
      <c r="X13" s="1410">
        <v>77</v>
      </c>
      <c r="Y13" s="1410">
        <v>21</v>
      </c>
      <c r="Z13" s="436">
        <f t="shared" si="2"/>
        <v>219</v>
      </c>
    </row>
    <row r="14" spans="1:26" s="434" customFormat="1" ht="13.9" customHeight="1" thickBot="1">
      <c r="A14" s="437" t="s">
        <v>489</v>
      </c>
      <c r="B14" s="691">
        <v>20</v>
      </c>
      <c r="C14" s="691">
        <v>6</v>
      </c>
      <c r="D14" s="691">
        <v>36</v>
      </c>
      <c r="E14" s="691">
        <v>9</v>
      </c>
      <c r="F14" s="691">
        <v>72</v>
      </c>
      <c r="G14" s="691">
        <v>3</v>
      </c>
      <c r="H14" s="436">
        <f t="shared" si="0"/>
        <v>146</v>
      </c>
      <c r="I14" s="245"/>
      <c r="J14" s="437" t="s">
        <v>489</v>
      </c>
      <c r="K14" s="691">
        <v>18</v>
      </c>
      <c r="L14" s="691">
        <v>3</v>
      </c>
      <c r="M14" s="691">
        <v>33</v>
      </c>
      <c r="N14" s="691">
        <v>1</v>
      </c>
      <c r="O14" s="691">
        <v>39</v>
      </c>
      <c r="P14" s="691">
        <v>27</v>
      </c>
      <c r="Q14" s="436">
        <f t="shared" si="1"/>
        <v>121</v>
      </c>
      <c r="S14" s="437" t="s">
        <v>489</v>
      </c>
      <c r="T14" s="1410">
        <v>5</v>
      </c>
      <c r="U14" s="1410">
        <v>9</v>
      </c>
      <c r="V14" s="1410">
        <v>21</v>
      </c>
      <c r="W14" s="1410">
        <v>6</v>
      </c>
      <c r="X14" s="1410">
        <v>66</v>
      </c>
      <c r="Y14" s="1410">
        <v>11</v>
      </c>
      <c r="Z14" s="436">
        <f t="shared" si="2"/>
        <v>118</v>
      </c>
    </row>
    <row r="15" spans="1:26" s="434" customFormat="1" ht="13.9" customHeight="1" thickBot="1">
      <c r="A15" s="437" t="s">
        <v>445</v>
      </c>
      <c r="B15" s="691">
        <v>20</v>
      </c>
      <c r="C15" s="691">
        <v>7</v>
      </c>
      <c r="D15" s="691">
        <v>39</v>
      </c>
      <c r="E15" s="691">
        <v>3</v>
      </c>
      <c r="F15" s="691">
        <v>32</v>
      </c>
      <c r="G15" s="691">
        <v>1</v>
      </c>
      <c r="H15" s="436">
        <f t="shared" si="0"/>
        <v>102</v>
      </c>
      <c r="J15" s="437" t="s">
        <v>445</v>
      </c>
      <c r="K15" s="691">
        <v>1</v>
      </c>
      <c r="L15" s="691"/>
      <c r="M15" s="691">
        <v>3</v>
      </c>
      <c r="N15" s="691"/>
      <c r="O15" s="691">
        <v>1</v>
      </c>
      <c r="P15" s="691"/>
      <c r="Q15" s="436">
        <f t="shared" si="1"/>
        <v>5</v>
      </c>
      <c r="S15" s="437" t="s">
        <v>445</v>
      </c>
      <c r="T15" s="1410">
        <v>4</v>
      </c>
      <c r="U15" s="1410"/>
      <c r="V15" s="1410">
        <v>3</v>
      </c>
      <c r="W15" s="1410"/>
      <c r="X15" s="1410">
        <v>4</v>
      </c>
      <c r="Y15" s="1410"/>
      <c r="Z15" s="436">
        <f t="shared" si="2"/>
        <v>11</v>
      </c>
    </row>
    <row r="16" spans="1:26" s="434" customFormat="1" ht="13.9" customHeight="1" thickBot="1">
      <c r="A16" s="437" t="s">
        <v>490</v>
      </c>
      <c r="B16" s="691">
        <v>7</v>
      </c>
      <c r="C16" s="691">
        <v>6</v>
      </c>
      <c r="D16" s="691">
        <v>8</v>
      </c>
      <c r="E16" s="691">
        <v>2</v>
      </c>
      <c r="F16" s="691">
        <v>7</v>
      </c>
      <c r="G16" s="691">
        <v>1</v>
      </c>
      <c r="H16" s="436"/>
      <c r="J16" s="437" t="s">
        <v>490</v>
      </c>
      <c r="K16" s="691">
        <v>2</v>
      </c>
      <c r="L16" s="691">
        <v>1</v>
      </c>
      <c r="M16" s="691">
        <v>8</v>
      </c>
      <c r="N16" s="691">
        <v>2</v>
      </c>
      <c r="O16" s="691">
        <v>7</v>
      </c>
      <c r="P16" s="691"/>
      <c r="Q16" s="436">
        <f t="shared" si="1"/>
        <v>20</v>
      </c>
      <c r="S16" s="437" t="s">
        <v>490</v>
      </c>
      <c r="T16" s="1410">
        <v>14</v>
      </c>
      <c r="U16" s="1410">
        <v>4</v>
      </c>
      <c r="V16" s="1410">
        <v>13</v>
      </c>
      <c r="W16" s="1410">
        <v>1</v>
      </c>
      <c r="X16" s="1410">
        <v>13</v>
      </c>
      <c r="Y16" s="1410">
        <v>2</v>
      </c>
      <c r="Z16" s="436">
        <f>SUM(T16:Y16)</f>
        <v>47</v>
      </c>
    </row>
    <row r="17" spans="1:26" s="434" customFormat="1" ht="13.9" customHeight="1" thickBot="1">
      <c r="A17" s="437" t="s">
        <v>491</v>
      </c>
      <c r="B17" s="691"/>
      <c r="C17" s="691"/>
      <c r="D17" s="691"/>
      <c r="E17" s="691"/>
      <c r="F17" s="691"/>
      <c r="G17" s="691"/>
      <c r="H17" s="436"/>
      <c r="J17" s="437" t="s">
        <v>491</v>
      </c>
      <c r="K17" s="691"/>
      <c r="L17" s="691"/>
      <c r="M17" s="691"/>
      <c r="N17" s="691"/>
      <c r="O17" s="691"/>
      <c r="P17" s="691"/>
      <c r="Q17" s="436"/>
      <c r="S17" s="437" t="s">
        <v>491</v>
      </c>
      <c r="T17" s="1410"/>
      <c r="U17" s="1410"/>
      <c r="V17" s="1410"/>
      <c r="W17" s="1410"/>
      <c r="X17" s="1410"/>
      <c r="Y17" s="1410"/>
      <c r="Z17" s="436"/>
    </row>
    <row r="18" spans="1:26" s="434" customFormat="1" ht="13.9" customHeight="1" thickBot="1">
      <c r="A18" s="437" t="s">
        <v>446</v>
      </c>
      <c r="B18" s="691"/>
      <c r="C18" s="691"/>
      <c r="D18" s="691"/>
      <c r="E18" s="691"/>
      <c r="F18" s="691"/>
      <c r="G18" s="691"/>
      <c r="H18" s="436">
        <f t="shared" si="0"/>
        <v>0</v>
      </c>
      <c r="J18" s="437" t="s">
        <v>446</v>
      </c>
      <c r="K18" s="691">
        <v>6</v>
      </c>
      <c r="L18" s="691">
        <v>16</v>
      </c>
      <c r="M18" s="691">
        <v>19</v>
      </c>
      <c r="N18" s="691">
        <v>20</v>
      </c>
      <c r="O18" s="691">
        <v>17</v>
      </c>
      <c r="P18" s="691">
        <v>35</v>
      </c>
      <c r="Q18" s="436">
        <f t="shared" si="1"/>
        <v>113</v>
      </c>
      <c r="S18" s="437" t="s">
        <v>446</v>
      </c>
      <c r="T18" s="1410">
        <v>31</v>
      </c>
      <c r="U18" s="1410">
        <v>24</v>
      </c>
      <c r="V18" s="1410">
        <v>42</v>
      </c>
      <c r="W18" s="1410">
        <v>20</v>
      </c>
      <c r="X18" s="1410">
        <v>45</v>
      </c>
      <c r="Y18" s="1410">
        <v>34</v>
      </c>
      <c r="Z18" s="436"/>
    </row>
    <row r="19" spans="1:26" s="139" customFormat="1" ht="13.9" customHeight="1" thickBot="1">
      <c r="A19" s="437" t="s">
        <v>659</v>
      </c>
      <c r="B19" s="691">
        <v>5</v>
      </c>
      <c r="C19" s="691">
        <v>3</v>
      </c>
      <c r="D19" s="691">
        <v>6</v>
      </c>
      <c r="E19" s="691">
        <v>3</v>
      </c>
      <c r="F19" s="691">
        <v>4</v>
      </c>
      <c r="G19" s="691"/>
      <c r="H19" s="436">
        <f t="shared" si="0"/>
        <v>21</v>
      </c>
      <c r="J19" s="437" t="s">
        <v>659</v>
      </c>
      <c r="K19" s="691">
        <v>3</v>
      </c>
      <c r="L19" s="691"/>
      <c r="M19" s="691">
        <v>5</v>
      </c>
      <c r="N19" s="691"/>
      <c r="O19" s="691">
        <v>2</v>
      </c>
      <c r="P19" s="691"/>
      <c r="Q19" s="436">
        <f t="shared" si="1"/>
        <v>10</v>
      </c>
      <c r="R19" s="434"/>
      <c r="S19" s="437" t="s">
        <v>659</v>
      </c>
      <c r="T19" s="1410">
        <v>4</v>
      </c>
      <c r="U19" s="1410"/>
      <c r="V19" s="1410">
        <v>5</v>
      </c>
      <c r="W19" s="1410">
        <v>2</v>
      </c>
      <c r="X19" s="1410">
        <v>1</v>
      </c>
      <c r="Y19" s="1410"/>
      <c r="Z19" s="436">
        <f t="shared" ref="Z19:Z20" si="3">SUM(T19:Y19)</f>
        <v>12</v>
      </c>
    </row>
    <row r="20" spans="1:26" s="139" customFormat="1" ht="13.9" customHeight="1" thickBot="1">
      <c r="A20" s="437" t="s">
        <v>608</v>
      </c>
      <c r="B20" s="691">
        <v>12</v>
      </c>
      <c r="C20" s="691">
        <v>1</v>
      </c>
      <c r="D20" s="691">
        <v>4</v>
      </c>
      <c r="E20" s="691">
        <v>1</v>
      </c>
      <c r="F20" s="691"/>
      <c r="G20" s="691">
        <v>1</v>
      </c>
      <c r="H20" s="436">
        <f t="shared" si="0"/>
        <v>19</v>
      </c>
      <c r="J20" s="437" t="s">
        <v>608</v>
      </c>
      <c r="K20" s="691">
        <v>10</v>
      </c>
      <c r="L20" s="691">
        <v>6</v>
      </c>
      <c r="M20" s="691">
        <v>16</v>
      </c>
      <c r="N20" s="691">
        <v>1</v>
      </c>
      <c r="O20" s="691">
        <v>9</v>
      </c>
      <c r="P20" s="691">
        <v>1</v>
      </c>
      <c r="Q20" s="436">
        <f t="shared" si="1"/>
        <v>43</v>
      </c>
      <c r="R20" s="434"/>
      <c r="S20" s="437" t="s">
        <v>608</v>
      </c>
      <c r="T20" s="1410">
        <v>5</v>
      </c>
      <c r="U20" s="1410"/>
      <c r="V20" s="1410">
        <v>3</v>
      </c>
      <c r="W20" s="1410"/>
      <c r="X20" s="1410">
        <v>1</v>
      </c>
      <c r="Y20" s="1410"/>
      <c r="Z20" s="436">
        <f t="shared" si="3"/>
        <v>9</v>
      </c>
    </row>
    <row r="21" spans="1:26" s="139" customFormat="1" ht="13.9" customHeight="1" thickBot="1">
      <c r="A21" s="436" t="s">
        <v>447</v>
      </c>
      <c r="B21" s="433">
        <f t="shared" ref="B21:G21" si="4">SUM(B11:B20)</f>
        <v>172</v>
      </c>
      <c r="C21" s="433">
        <f t="shared" si="4"/>
        <v>70</v>
      </c>
      <c r="D21" s="433">
        <f t="shared" si="4"/>
        <v>246</v>
      </c>
      <c r="E21" s="433">
        <f t="shared" si="4"/>
        <v>42</v>
      </c>
      <c r="F21" s="433">
        <f t="shared" si="4"/>
        <v>312</v>
      </c>
      <c r="G21" s="433">
        <f t="shared" si="4"/>
        <v>19</v>
      </c>
      <c r="H21" s="436"/>
      <c r="J21" s="436" t="s">
        <v>447</v>
      </c>
      <c r="K21" s="433">
        <f t="shared" ref="K21:P21" si="5">SUM(K11:K20)</f>
        <v>139</v>
      </c>
      <c r="L21" s="433">
        <f t="shared" si="5"/>
        <v>86</v>
      </c>
      <c r="M21" s="433">
        <f t="shared" si="5"/>
        <v>201</v>
      </c>
      <c r="N21" s="433">
        <f t="shared" si="5"/>
        <v>40</v>
      </c>
      <c r="O21" s="433">
        <f t="shared" si="5"/>
        <v>251</v>
      </c>
      <c r="P21" s="433">
        <f t="shared" si="5"/>
        <v>84</v>
      </c>
      <c r="Q21" s="436"/>
      <c r="R21" s="434"/>
      <c r="S21" s="436" t="s">
        <v>447</v>
      </c>
      <c r="T21" s="433">
        <f t="shared" ref="T21:Y21" si="6">SUM(T11:T20)</f>
        <v>198</v>
      </c>
      <c r="U21" s="433">
        <f t="shared" si="6"/>
        <v>89</v>
      </c>
      <c r="V21" s="433">
        <f t="shared" si="6"/>
        <v>255</v>
      </c>
      <c r="W21" s="433">
        <f t="shared" si="6"/>
        <v>63</v>
      </c>
      <c r="X21" s="433">
        <f t="shared" si="6"/>
        <v>311</v>
      </c>
      <c r="Y21" s="433">
        <f t="shared" si="6"/>
        <v>87</v>
      </c>
      <c r="Z21" s="436"/>
    </row>
    <row r="22" spans="1:26" s="435" customFormat="1" ht="13.9" customHeight="1" thickBot="1">
      <c r="A22" s="436" t="s">
        <v>448</v>
      </c>
      <c r="B22" s="1066">
        <f>B21+C21</f>
        <v>242</v>
      </c>
      <c r="C22" s="1067"/>
      <c r="D22" s="1066">
        <f>D21+E21</f>
        <v>288</v>
      </c>
      <c r="E22" s="1067"/>
      <c r="F22" s="1066">
        <f>F21+G21</f>
        <v>331</v>
      </c>
      <c r="G22" s="1067"/>
      <c r="H22" s="436">
        <f>SUM(B22:G22)</f>
        <v>861</v>
      </c>
      <c r="J22" s="436" t="s">
        <v>448</v>
      </c>
      <c r="K22" s="1066">
        <f>K21+L21</f>
        <v>225</v>
      </c>
      <c r="L22" s="1067"/>
      <c r="M22" s="1066">
        <f>M21+N21</f>
        <v>241</v>
      </c>
      <c r="N22" s="1067"/>
      <c r="O22" s="1066">
        <f>O21+P21</f>
        <v>335</v>
      </c>
      <c r="P22" s="1067"/>
      <c r="Q22" s="436">
        <f>SUM(K22:P22)</f>
        <v>801</v>
      </c>
      <c r="S22" s="436" t="s">
        <v>448</v>
      </c>
      <c r="T22" s="1066">
        <f>T21+U21</f>
        <v>287</v>
      </c>
      <c r="U22" s="1067"/>
      <c r="V22" s="1066">
        <f>V21+W21</f>
        <v>318</v>
      </c>
      <c r="W22" s="1067"/>
      <c r="X22" s="1066">
        <f>X21+Y21</f>
        <v>398</v>
      </c>
      <c r="Y22" s="1067"/>
      <c r="Z22" s="436">
        <f>SUM(T22:Y22)</f>
        <v>1003</v>
      </c>
    </row>
    <row r="23" spans="1:26" s="173" customFormat="1" ht="5.25" customHeight="1">
      <c r="A23" s="261"/>
      <c r="B23" s="261"/>
      <c r="C23" s="261"/>
      <c r="D23" s="261"/>
      <c r="E23" s="261"/>
      <c r="F23" s="261"/>
      <c r="G23" s="261"/>
      <c r="H23" s="261"/>
      <c r="J23" s="261"/>
      <c r="K23" s="261"/>
      <c r="L23" s="261"/>
      <c r="M23" s="261"/>
      <c r="N23" s="261"/>
      <c r="O23" s="261"/>
      <c r="P23" s="261"/>
      <c r="Q23" s="261"/>
      <c r="R23" s="261"/>
      <c r="S23" s="261"/>
      <c r="T23" s="261"/>
      <c r="U23" s="261"/>
      <c r="V23" s="261"/>
      <c r="W23" s="261"/>
      <c r="X23" s="261"/>
      <c r="Y23" s="261"/>
      <c r="Z23" s="261"/>
    </row>
    <row r="24" spans="1:26" s="173" customFormat="1" ht="15" customHeight="1">
      <c r="A24" s="1068" t="s">
        <v>836</v>
      </c>
      <c r="B24" s="1068"/>
      <c r="C24" s="1068"/>
      <c r="D24" s="1068"/>
      <c r="E24" s="1068"/>
      <c r="F24" s="1068"/>
      <c r="G24" s="1068"/>
      <c r="H24" s="1068"/>
      <c r="J24" s="1068" t="s">
        <v>996</v>
      </c>
      <c r="K24" s="1068"/>
      <c r="L24" s="1068"/>
      <c r="M24" s="1068"/>
      <c r="N24" s="1068"/>
      <c r="O24" s="1068"/>
      <c r="P24" s="1068"/>
      <c r="Q24" s="1068"/>
      <c r="S24" s="1068" t="s">
        <v>1123</v>
      </c>
      <c r="T24" s="1068"/>
      <c r="U24" s="1068"/>
      <c r="V24" s="1068"/>
      <c r="W24" s="1068"/>
      <c r="X24" s="1068"/>
      <c r="Y24" s="1068"/>
      <c r="Z24" s="1068"/>
    </row>
    <row r="25" spans="1:26" s="173" customFormat="1" ht="5.25" customHeight="1" thickBot="1"/>
    <row r="26" spans="1:26" s="173" customFormat="1" ht="13.9" customHeight="1" thickBot="1">
      <c r="A26" s="534" t="s">
        <v>153</v>
      </c>
      <c r="B26" s="1066" t="s">
        <v>421</v>
      </c>
      <c r="C26" s="1067"/>
      <c r="D26" s="1066" t="s">
        <v>422</v>
      </c>
      <c r="E26" s="1067"/>
      <c r="F26" s="1066" t="s">
        <v>423</v>
      </c>
      <c r="G26" s="1067"/>
      <c r="H26" s="534" t="s">
        <v>450</v>
      </c>
      <c r="J26" s="534" t="s">
        <v>153</v>
      </c>
      <c r="K26" s="1066" t="s">
        <v>421</v>
      </c>
      <c r="L26" s="1067"/>
      <c r="M26" s="1066" t="s">
        <v>422</v>
      </c>
      <c r="N26" s="1067"/>
      <c r="O26" s="1066" t="s">
        <v>423</v>
      </c>
      <c r="P26" s="1067"/>
      <c r="Q26" s="534" t="s">
        <v>450</v>
      </c>
      <c r="S26" s="534" t="s">
        <v>153</v>
      </c>
      <c r="T26" s="1066" t="s">
        <v>421</v>
      </c>
      <c r="U26" s="1067"/>
      <c r="V26" s="1066" t="s">
        <v>422</v>
      </c>
      <c r="W26" s="1067"/>
      <c r="X26" s="1066" t="s">
        <v>423</v>
      </c>
      <c r="Y26" s="1067"/>
      <c r="Z26" s="534" t="s">
        <v>450</v>
      </c>
    </row>
    <row r="27" spans="1:26" s="173" customFormat="1" ht="13.9" customHeight="1" thickBot="1">
      <c r="A27" s="1069"/>
      <c r="B27" s="433" t="s">
        <v>87</v>
      </c>
      <c r="C27" s="433" t="s">
        <v>130</v>
      </c>
      <c r="D27" s="433" t="s">
        <v>87</v>
      </c>
      <c r="E27" s="433" t="s">
        <v>130</v>
      </c>
      <c r="F27" s="433" t="s">
        <v>87</v>
      </c>
      <c r="G27" s="433" t="s">
        <v>130</v>
      </c>
      <c r="H27" s="1069"/>
      <c r="J27" s="1069"/>
      <c r="K27" s="433" t="s">
        <v>87</v>
      </c>
      <c r="L27" s="433" t="s">
        <v>130</v>
      </c>
      <c r="M27" s="433" t="s">
        <v>87</v>
      </c>
      <c r="N27" s="433" t="s">
        <v>130</v>
      </c>
      <c r="O27" s="433" t="s">
        <v>87</v>
      </c>
      <c r="P27" s="433" t="s">
        <v>130</v>
      </c>
      <c r="Q27" s="1069"/>
      <c r="R27" s="334"/>
      <c r="S27" s="1069"/>
      <c r="T27" s="433" t="s">
        <v>87</v>
      </c>
      <c r="U27" s="433" t="s">
        <v>130</v>
      </c>
      <c r="V27" s="433" t="s">
        <v>87</v>
      </c>
      <c r="W27" s="433" t="s">
        <v>130</v>
      </c>
      <c r="X27" s="433" t="s">
        <v>87</v>
      </c>
      <c r="Y27" s="433" t="s">
        <v>130</v>
      </c>
      <c r="Z27" s="1069"/>
    </row>
    <row r="28" spans="1:26" s="173" customFormat="1" ht="13.9" customHeight="1" thickBot="1">
      <c r="A28" s="437" t="s">
        <v>441</v>
      </c>
      <c r="B28" s="691">
        <v>101</v>
      </c>
      <c r="C28" s="691">
        <v>28</v>
      </c>
      <c r="D28" s="691">
        <v>88</v>
      </c>
      <c r="E28" s="691">
        <v>15</v>
      </c>
      <c r="F28" s="691">
        <v>6</v>
      </c>
      <c r="G28" s="691">
        <v>1</v>
      </c>
      <c r="H28" s="433">
        <f>SUM(B28:G28)</f>
        <v>239</v>
      </c>
      <c r="J28" s="437" t="s">
        <v>441</v>
      </c>
      <c r="K28" s="691">
        <v>257</v>
      </c>
      <c r="L28" s="691">
        <v>147</v>
      </c>
      <c r="M28" s="691">
        <v>93</v>
      </c>
      <c r="N28" s="691">
        <v>20</v>
      </c>
      <c r="O28" s="691">
        <v>112</v>
      </c>
      <c r="P28" s="691">
        <v>5</v>
      </c>
      <c r="Q28" s="436">
        <f>SUM(K28:P28)</f>
        <v>634</v>
      </c>
      <c r="R28" s="335"/>
      <c r="S28" s="437" t="s">
        <v>441</v>
      </c>
      <c r="T28" s="1410">
        <v>103</v>
      </c>
      <c r="U28" s="1410">
        <v>30</v>
      </c>
      <c r="V28" s="1410">
        <v>97</v>
      </c>
      <c r="W28" s="1410">
        <v>12</v>
      </c>
      <c r="X28" s="1410">
        <v>79</v>
      </c>
      <c r="Y28" s="1410">
        <v>3</v>
      </c>
      <c r="Z28" s="436">
        <f>SUM(T28:Y28)</f>
        <v>324</v>
      </c>
    </row>
    <row r="29" spans="1:26" s="261" customFormat="1" ht="24" customHeight="1" thickBot="1">
      <c r="A29" s="438" t="s">
        <v>442</v>
      </c>
      <c r="B29" s="691">
        <v>91</v>
      </c>
      <c r="C29" s="691">
        <v>44</v>
      </c>
      <c r="D29" s="691">
        <v>74</v>
      </c>
      <c r="E29" s="691">
        <v>24</v>
      </c>
      <c r="F29" s="691">
        <v>126</v>
      </c>
      <c r="G29" s="691">
        <v>6</v>
      </c>
      <c r="H29" s="433">
        <f t="shared" ref="H29:H37" si="7">SUM(B29:G29)</f>
        <v>365</v>
      </c>
      <c r="J29" s="438" t="s">
        <v>442</v>
      </c>
      <c r="K29" s="691">
        <v>169</v>
      </c>
      <c r="L29" s="691">
        <v>52</v>
      </c>
      <c r="M29" s="691">
        <v>230</v>
      </c>
      <c r="N29" s="691">
        <v>27</v>
      </c>
      <c r="O29" s="691">
        <v>315</v>
      </c>
      <c r="P29" s="691">
        <v>26</v>
      </c>
      <c r="Q29" s="436">
        <f t="shared" ref="Q29:Q37" si="8">SUM(K29:P29)</f>
        <v>819</v>
      </c>
      <c r="S29" s="438" t="s">
        <v>442</v>
      </c>
      <c r="T29" s="1410">
        <v>288</v>
      </c>
      <c r="U29" s="1410">
        <v>76</v>
      </c>
      <c r="V29" s="1410">
        <v>464</v>
      </c>
      <c r="W29" s="1410">
        <v>66</v>
      </c>
      <c r="X29" s="1410">
        <v>542</v>
      </c>
      <c r="Y29" s="1410">
        <v>80</v>
      </c>
      <c r="Z29" s="436">
        <f t="shared" ref="Z29:Z33" si="9">SUM(T29:Y29)</f>
        <v>1516</v>
      </c>
    </row>
    <row r="30" spans="1:26" s="261" customFormat="1" ht="23.25" customHeight="1" thickBot="1">
      <c r="A30" s="437" t="s">
        <v>443</v>
      </c>
      <c r="B30" s="691">
        <v>111</v>
      </c>
      <c r="C30" s="691">
        <v>24</v>
      </c>
      <c r="D30" s="691">
        <v>160</v>
      </c>
      <c r="E30" s="691">
        <v>45</v>
      </c>
      <c r="F30" s="691">
        <v>216</v>
      </c>
      <c r="G30" s="691">
        <v>15</v>
      </c>
      <c r="H30" s="433">
        <f t="shared" si="7"/>
        <v>571</v>
      </c>
      <c r="J30" s="438" t="s">
        <v>744</v>
      </c>
      <c r="K30" s="691">
        <v>166</v>
      </c>
      <c r="L30" s="691">
        <v>170</v>
      </c>
      <c r="M30" s="691">
        <v>330</v>
      </c>
      <c r="N30" s="691">
        <v>6</v>
      </c>
      <c r="O30" s="691">
        <v>950</v>
      </c>
      <c r="P30" s="691">
        <v>142</v>
      </c>
      <c r="Q30" s="436">
        <f t="shared" si="8"/>
        <v>1764</v>
      </c>
      <c r="S30" s="438" t="s">
        <v>744</v>
      </c>
      <c r="T30" s="1410">
        <v>184</v>
      </c>
      <c r="U30" s="1410">
        <v>108</v>
      </c>
      <c r="V30" s="1410">
        <v>432</v>
      </c>
      <c r="W30" s="1410">
        <v>134</v>
      </c>
      <c r="X30" s="1410">
        <v>664</v>
      </c>
      <c r="Y30" s="1410">
        <v>160</v>
      </c>
      <c r="Z30" s="436">
        <f t="shared" si="9"/>
        <v>1682</v>
      </c>
    </row>
    <row r="31" spans="1:26" s="261" customFormat="1" ht="13.9" customHeight="1" thickBot="1">
      <c r="A31" s="437" t="s">
        <v>444</v>
      </c>
      <c r="B31" s="691">
        <v>69</v>
      </c>
      <c r="C31" s="691">
        <v>24</v>
      </c>
      <c r="D31" s="691">
        <v>96</v>
      </c>
      <c r="E31" s="691">
        <v>33</v>
      </c>
      <c r="F31" s="691">
        <v>159</v>
      </c>
      <c r="G31" s="691">
        <v>9</v>
      </c>
      <c r="H31" s="433">
        <f t="shared" si="7"/>
        <v>390</v>
      </c>
      <c r="J31" s="437" t="s">
        <v>444</v>
      </c>
      <c r="K31" s="691">
        <v>54</v>
      </c>
      <c r="L31" s="691">
        <v>14</v>
      </c>
      <c r="M31" s="691">
        <v>104</v>
      </c>
      <c r="N31" s="691">
        <v>8</v>
      </c>
      <c r="O31" s="691">
        <v>147</v>
      </c>
      <c r="P31" s="691">
        <v>101</v>
      </c>
      <c r="Q31" s="436">
        <f t="shared" si="8"/>
        <v>428</v>
      </c>
      <c r="S31" s="437" t="s">
        <v>444</v>
      </c>
      <c r="T31" s="1410">
        <v>22</v>
      </c>
      <c r="U31" s="1410">
        <v>29</v>
      </c>
      <c r="V31" s="1410">
        <v>79</v>
      </c>
      <c r="W31" s="1410">
        <v>20</v>
      </c>
      <c r="X31" s="1410">
        <v>265</v>
      </c>
      <c r="Y31" s="1410">
        <v>30</v>
      </c>
      <c r="Z31" s="436">
        <f t="shared" si="9"/>
        <v>445</v>
      </c>
    </row>
    <row r="32" spans="1:26" s="261" customFormat="1" ht="13.9" customHeight="1" thickBot="1">
      <c r="A32" s="437" t="s">
        <v>445</v>
      </c>
      <c r="B32" s="691">
        <v>333</v>
      </c>
      <c r="C32" s="691">
        <v>155</v>
      </c>
      <c r="D32" s="691">
        <v>778</v>
      </c>
      <c r="E32" s="691">
        <v>35</v>
      </c>
      <c r="F32" s="691">
        <v>682</v>
      </c>
      <c r="G32" s="691">
        <v>30</v>
      </c>
      <c r="H32" s="433">
        <f t="shared" si="7"/>
        <v>2013</v>
      </c>
      <c r="J32" s="437" t="s">
        <v>445</v>
      </c>
      <c r="K32" s="691">
        <v>70</v>
      </c>
      <c r="L32" s="691"/>
      <c r="M32" s="691">
        <v>168</v>
      </c>
      <c r="N32" s="691"/>
      <c r="O32" s="691">
        <v>20</v>
      </c>
      <c r="P32" s="691"/>
      <c r="Q32" s="436">
        <f t="shared" si="8"/>
        <v>258</v>
      </c>
      <c r="S32" s="437" t="s">
        <v>445</v>
      </c>
      <c r="T32" s="1410">
        <v>84</v>
      </c>
      <c r="U32" s="1410"/>
      <c r="V32" s="1410">
        <v>112</v>
      </c>
      <c r="W32" s="1410"/>
      <c r="X32" s="1410">
        <v>154</v>
      </c>
      <c r="Y32" s="1410"/>
      <c r="Z32" s="436">
        <f t="shared" si="9"/>
        <v>350</v>
      </c>
    </row>
    <row r="33" spans="1:26" s="261" customFormat="1" ht="13.9" customHeight="1" thickBot="1">
      <c r="A33" s="437" t="s">
        <v>490</v>
      </c>
      <c r="B33" s="691">
        <v>14</v>
      </c>
      <c r="C33" s="691">
        <v>12</v>
      </c>
      <c r="D33" s="691">
        <v>16</v>
      </c>
      <c r="E33" s="691">
        <v>4</v>
      </c>
      <c r="F33" s="691">
        <v>14</v>
      </c>
      <c r="G33" s="691"/>
      <c r="H33" s="433">
        <f t="shared" si="7"/>
        <v>60</v>
      </c>
      <c r="J33" s="437" t="s">
        <v>490</v>
      </c>
      <c r="K33" s="691">
        <v>6</v>
      </c>
      <c r="L33" s="691">
        <v>2</v>
      </c>
      <c r="M33" s="691">
        <v>57</v>
      </c>
      <c r="N33" s="691">
        <v>6</v>
      </c>
      <c r="O33" s="691">
        <v>23</v>
      </c>
      <c r="P33" s="691"/>
      <c r="Q33" s="436">
        <f t="shared" si="8"/>
        <v>94</v>
      </c>
      <c r="S33" s="437" t="s">
        <v>490</v>
      </c>
      <c r="T33" s="1410">
        <v>29</v>
      </c>
      <c r="U33" s="1410">
        <v>4</v>
      </c>
      <c r="V33" s="1410">
        <v>48</v>
      </c>
      <c r="W33" s="1410">
        <v>1</v>
      </c>
      <c r="X33" s="1410">
        <v>32</v>
      </c>
      <c r="Y33" s="1410">
        <v>12</v>
      </c>
      <c r="Z33" s="436">
        <f t="shared" si="9"/>
        <v>126</v>
      </c>
    </row>
    <row r="34" spans="1:26" s="261" customFormat="1" ht="13.9" customHeight="1" thickBot="1">
      <c r="A34" s="437" t="s">
        <v>491</v>
      </c>
      <c r="B34" s="691"/>
      <c r="C34" s="691"/>
      <c r="D34" s="691"/>
      <c r="E34" s="691"/>
      <c r="F34" s="691"/>
      <c r="G34" s="691"/>
      <c r="H34" s="433"/>
      <c r="J34" s="437" t="s">
        <v>491</v>
      </c>
      <c r="K34" s="691"/>
      <c r="L34" s="691"/>
      <c r="M34" s="691"/>
      <c r="N34" s="691"/>
      <c r="O34" s="691"/>
      <c r="P34" s="691"/>
      <c r="Q34" s="436"/>
      <c r="S34" s="437" t="s">
        <v>491</v>
      </c>
      <c r="T34" s="1410"/>
      <c r="U34" s="1410"/>
      <c r="V34" s="1410"/>
      <c r="W34" s="1410"/>
      <c r="X34" s="1410"/>
      <c r="Y34" s="1410"/>
      <c r="Z34" s="436"/>
    </row>
    <row r="35" spans="1:26" s="261" customFormat="1" ht="13.9" customHeight="1" thickBot="1">
      <c r="A35" s="437" t="s">
        <v>446</v>
      </c>
      <c r="B35" s="691"/>
      <c r="C35" s="691"/>
      <c r="D35" s="691"/>
      <c r="E35" s="691"/>
      <c r="F35" s="691"/>
      <c r="G35" s="691"/>
      <c r="H35" s="433">
        <f t="shared" si="7"/>
        <v>0</v>
      </c>
      <c r="J35" s="437" t="s">
        <v>446</v>
      </c>
      <c r="K35" s="691">
        <v>95</v>
      </c>
      <c r="L35" s="691">
        <v>195</v>
      </c>
      <c r="M35" s="691">
        <v>242</v>
      </c>
      <c r="N35" s="691">
        <v>293</v>
      </c>
      <c r="O35" s="691">
        <v>210</v>
      </c>
      <c r="P35" s="691">
        <v>516</v>
      </c>
      <c r="Q35" s="436"/>
      <c r="S35" s="437" t="s">
        <v>446</v>
      </c>
      <c r="T35" s="1410">
        <v>248</v>
      </c>
      <c r="U35" s="1410">
        <v>147</v>
      </c>
      <c r="V35" s="1410">
        <v>335</v>
      </c>
      <c r="W35" s="1410">
        <v>262</v>
      </c>
      <c r="X35" s="1410">
        <v>439</v>
      </c>
      <c r="Y35" s="1410">
        <v>287</v>
      </c>
      <c r="Z35" s="436">
        <f t="shared" ref="Z35:Z37" si="10">SUM(T35:Y35)</f>
        <v>1718</v>
      </c>
    </row>
    <row r="36" spans="1:26" s="261" customFormat="1" ht="13.9" customHeight="1" thickBot="1">
      <c r="A36" s="437" t="s">
        <v>659</v>
      </c>
      <c r="B36" s="691">
        <v>54</v>
      </c>
      <c r="C36" s="691">
        <v>21</v>
      </c>
      <c r="D36" s="691">
        <v>68</v>
      </c>
      <c r="E36" s="691">
        <v>47</v>
      </c>
      <c r="F36" s="691">
        <v>25</v>
      </c>
      <c r="G36" s="691"/>
      <c r="H36" s="433">
        <f t="shared" si="7"/>
        <v>215</v>
      </c>
      <c r="J36" s="437" t="s">
        <v>659</v>
      </c>
      <c r="K36" s="691">
        <v>15</v>
      </c>
      <c r="L36" s="691"/>
      <c r="M36" s="691">
        <v>36</v>
      </c>
      <c r="N36" s="691"/>
      <c r="O36" s="691">
        <v>14</v>
      </c>
      <c r="P36" s="691"/>
      <c r="Q36" s="436">
        <f t="shared" si="8"/>
        <v>65</v>
      </c>
      <c r="S36" s="437" t="s">
        <v>659</v>
      </c>
      <c r="T36" s="1410">
        <v>95</v>
      </c>
      <c r="U36" s="1410"/>
      <c r="V36" s="1410">
        <v>42</v>
      </c>
      <c r="W36" s="1410">
        <v>49</v>
      </c>
      <c r="X36" s="1410">
        <v>42</v>
      </c>
      <c r="Y36" s="1410"/>
      <c r="Z36" s="436">
        <f t="shared" si="10"/>
        <v>228</v>
      </c>
    </row>
    <row r="37" spans="1:26" s="261" customFormat="1" ht="13.9" customHeight="1" thickBot="1">
      <c r="A37" s="437" t="s">
        <v>608</v>
      </c>
      <c r="B37" s="691">
        <v>15</v>
      </c>
      <c r="C37" s="691">
        <v>7</v>
      </c>
      <c r="D37" s="691">
        <v>28</v>
      </c>
      <c r="E37" s="691">
        <v>7</v>
      </c>
      <c r="F37" s="691"/>
      <c r="G37" s="691">
        <v>7</v>
      </c>
      <c r="H37" s="433">
        <f t="shared" si="7"/>
        <v>64</v>
      </c>
      <c r="J37" s="437" t="s">
        <v>608</v>
      </c>
      <c r="K37" s="691">
        <v>40</v>
      </c>
      <c r="L37" s="691">
        <v>20</v>
      </c>
      <c r="M37" s="691">
        <v>71</v>
      </c>
      <c r="N37" s="691">
        <v>7</v>
      </c>
      <c r="O37" s="691">
        <v>27</v>
      </c>
      <c r="P37" s="691">
        <v>2</v>
      </c>
      <c r="Q37" s="436">
        <f t="shared" si="8"/>
        <v>167</v>
      </c>
      <c r="R37" s="718"/>
      <c r="S37" s="437" t="s">
        <v>608</v>
      </c>
      <c r="T37" s="1410">
        <v>14</v>
      </c>
      <c r="U37" s="1410"/>
      <c r="V37" s="1410">
        <v>17</v>
      </c>
      <c r="W37" s="1410"/>
      <c r="X37" s="1410">
        <v>5</v>
      </c>
      <c r="Y37" s="1410"/>
      <c r="Z37" s="436">
        <f t="shared" si="10"/>
        <v>36</v>
      </c>
    </row>
    <row r="38" spans="1:26" s="261" customFormat="1" ht="13.9" customHeight="1" thickBot="1">
      <c r="A38" s="436" t="s">
        <v>447</v>
      </c>
      <c r="B38" s="433">
        <f t="shared" ref="B38:G38" si="11">SUM(B28:B37)</f>
        <v>788</v>
      </c>
      <c r="C38" s="433">
        <f t="shared" si="11"/>
        <v>315</v>
      </c>
      <c r="D38" s="433">
        <f t="shared" si="11"/>
        <v>1308</v>
      </c>
      <c r="E38" s="433">
        <f t="shared" si="11"/>
        <v>210</v>
      </c>
      <c r="F38" s="433">
        <f t="shared" si="11"/>
        <v>1228</v>
      </c>
      <c r="G38" s="433">
        <f t="shared" si="11"/>
        <v>68</v>
      </c>
      <c r="H38" s="433"/>
      <c r="J38" s="436" t="s">
        <v>447</v>
      </c>
      <c r="K38" s="433">
        <f t="shared" ref="K38:P38" si="12">SUM(K28:K37)</f>
        <v>872</v>
      </c>
      <c r="L38" s="433">
        <f t="shared" si="12"/>
        <v>600</v>
      </c>
      <c r="M38" s="433">
        <f t="shared" si="12"/>
        <v>1331</v>
      </c>
      <c r="N38" s="433">
        <f t="shared" si="12"/>
        <v>367</v>
      </c>
      <c r="O38" s="433">
        <f t="shared" si="12"/>
        <v>1818</v>
      </c>
      <c r="P38" s="433">
        <f t="shared" si="12"/>
        <v>792</v>
      </c>
      <c r="Q38" s="436"/>
      <c r="S38" s="436" t="s">
        <v>447</v>
      </c>
      <c r="T38" s="433">
        <f t="shared" ref="T38:Y38" si="13">SUM(T28:T37)</f>
        <v>1067</v>
      </c>
      <c r="U38" s="433">
        <f t="shared" si="13"/>
        <v>394</v>
      </c>
      <c r="V38" s="433">
        <f t="shared" si="13"/>
        <v>1626</v>
      </c>
      <c r="W38" s="433">
        <f t="shared" si="13"/>
        <v>544</v>
      </c>
      <c r="X38" s="433">
        <f t="shared" si="13"/>
        <v>2222</v>
      </c>
      <c r="Y38" s="433">
        <f t="shared" si="13"/>
        <v>572</v>
      </c>
      <c r="Z38" s="436"/>
    </row>
    <row r="39" spans="1:26" s="261" customFormat="1" ht="13.9" customHeight="1" thickBot="1">
      <c r="A39" s="436" t="s">
        <v>448</v>
      </c>
      <c r="B39" s="1066">
        <f>B38+C38</f>
        <v>1103</v>
      </c>
      <c r="C39" s="1067"/>
      <c r="D39" s="1066">
        <f>D38+E38</f>
        <v>1518</v>
      </c>
      <c r="E39" s="1067"/>
      <c r="F39" s="1066">
        <f>F38+G38</f>
        <v>1296</v>
      </c>
      <c r="G39" s="1067"/>
      <c r="H39" s="433">
        <f>SUM(H28:H37)</f>
        <v>3917</v>
      </c>
      <c r="J39" s="436" t="s">
        <v>448</v>
      </c>
      <c r="K39" s="1066">
        <f>K38+L38</f>
        <v>1472</v>
      </c>
      <c r="L39" s="1067"/>
      <c r="M39" s="1066">
        <f>M38+N38</f>
        <v>1698</v>
      </c>
      <c r="N39" s="1067"/>
      <c r="O39" s="1066">
        <f>O38+P38</f>
        <v>2610</v>
      </c>
      <c r="P39" s="1067"/>
      <c r="Q39" s="436">
        <f>SUM(Q28:Q37)</f>
        <v>4229</v>
      </c>
      <c r="S39" s="436" t="s">
        <v>448</v>
      </c>
      <c r="T39" s="1066">
        <f>T38+U38</f>
        <v>1461</v>
      </c>
      <c r="U39" s="1067"/>
      <c r="V39" s="1066">
        <f>V38+W38</f>
        <v>2170</v>
      </c>
      <c r="W39" s="1067"/>
      <c r="X39" s="1066">
        <f>X38+Y38</f>
        <v>2794</v>
      </c>
      <c r="Y39" s="1067"/>
      <c r="Z39" s="436">
        <f>SUM(Z28:Z37)</f>
        <v>6425</v>
      </c>
    </row>
    <row r="40" spans="1:26" s="261" customFormat="1" ht="15" customHeight="1">
      <c r="A40" s="136"/>
      <c r="B40" s="343"/>
      <c r="C40" s="343"/>
      <c r="D40" s="343"/>
      <c r="E40" s="343"/>
      <c r="F40" s="343"/>
      <c r="G40" s="343"/>
      <c r="H40" s="343"/>
      <c r="J40"/>
      <c r="K40" s="439"/>
      <c r="L40" s="439"/>
      <c r="M40" s="439"/>
      <c r="N40" s="439"/>
      <c r="O40" s="439"/>
      <c r="P40" s="439"/>
      <c r="Q40"/>
      <c r="S40"/>
      <c r="T40" s="439"/>
      <c r="U40" s="439"/>
      <c r="V40" s="439"/>
      <c r="W40" s="439"/>
      <c r="X40" s="439"/>
      <c r="Y40" s="439"/>
      <c r="Z40"/>
    </row>
    <row r="41" spans="1:26" s="261" customFormat="1" ht="16.5" customHeight="1">
      <c r="A41" s="136"/>
      <c r="B41" s="343"/>
      <c r="C41" s="343"/>
      <c r="D41" s="343"/>
      <c r="E41" s="343"/>
      <c r="F41" s="343"/>
      <c r="G41" s="343"/>
      <c r="H41" s="343"/>
      <c r="J41" s="69"/>
      <c r="K41" s="69"/>
      <c r="L41" s="69"/>
      <c r="M41" s="69"/>
      <c r="N41" s="69"/>
      <c r="O41" s="69"/>
      <c r="P41" s="769"/>
      <c r="Q41" s="69"/>
      <c r="S41" s="69"/>
      <c r="T41" s="69"/>
      <c r="U41" s="69"/>
      <c r="V41" s="69"/>
      <c r="W41" s="69"/>
      <c r="X41" s="69"/>
      <c r="Y41" s="769"/>
      <c r="Z41" s="69"/>
    </row>
  </sheetData>
  <pageMargins left="0.11811023622047245" right="0.11811023622047245" top="0.35433070866141736" bottom="0.35433070866141736" header="0.31496062992125984" footer="0.31496062992125984"/>
  <pageSetup paperSize="9" scale="9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pageSetUpPr fitToPage="1"/>
  </sheetPr>
  <dimension ref="A1:Y57"/>
  <sheetViews>
    <sheetView showGridLines="0" zoomScaleNormal="100" zoomScaleSheetLayoutView="110" workbookViewId="0">
      <selection activeCell="Y27" sqref="Y27"/>
    </sheetView>
  </sheetViews>
  <sheetFormatPr baseColWidth="10" defaultColWidth="12" defaultRowHeight="11.25"/>
  <cols>
    <col min="1" max="1" width="5" style="56" customWidth="1"/>
    <col min="2" max="2" width="23.6640625" style="56" customWidth="1"/>
    <col min="3" max="10" width="8.1640625" style="56" customWidth="1"/>
    <col min="11" max="11" width="9" style="56" customWidth="1"/>
    <col min="12" max="12" width="2.6640625" style="56" customWidth="1"/>
    <col min="13" max="20" width="8.1640625" style="56" customWidth="1"/>
    <col min="21" max="22" width="9" customWidth="1"/>
    <col min="23" max="23" width="12" style="56" customWidth="1"/>
    <col min="24" max="16384" width="12" style="56"/>
  </cols>
  <sheetData>
    <row r="1" spans="1:22" ht="18" customHeight="1">
      <c r="A1" s="532" t="s">
        <v>660</v>
      </c>
    </row>
    <row r="2" spans="1:22" ht="4.9000000000000004" customHeight="1">
      <c r="B2" s="174"/>
    </row>
    <row r="3" spans="1:22" ht="18.75" customHeight="1">
      <c r="A3" s="230" t="s">
        <v>299</v>
      </c>
    </row>
    <row r="4" spans="1:22" ht="15.6" customHeight="1">
      <c r="C4" s="1072" t="s">
        <v>508</v>
      </c>
      <c r="D4" s="1072"/>
      <c r="E4" s="1072"/>
      <c r="F4" s="1072"/>
      <c r="G4" s="1072"/>
      <c r="H4" s="1072"/>
      <c r="I4" s="1073"/>
      <c r="J4" s="1057"/>
      <c r="K4" s="1072"/>
      <c r="L4" s="535"/>
      <c r="M4" s="1072" t="s">
        <v>509</v>
      </c>
      <c r="N4" s="1072"/>
      <c r="O4" s="1072"/>
      <c r="P4" s="1073"/>
      <c r="Q4" s="1057"/>
      <c r="R4" s="1057"/>
      <c r="S4" s="1057"/>
      <c r="T4" s="1057"/>
      <c r="U4" s="951"/>
    </row>
    <row r="5" spans="1:22" ht="4.9000000000000004" customHeight="1" thickBot="1">
      <c r="B5" s="535"/>
      <c r="C5" s="531"/>
      <c r="D5" s="531"/>
      <c r="E5" s="531"/>
      <c r="F5" s="530"/>
      <c r="G5" s="530"/>
      <c r="H5" s="530"/>
      <c r="I5" s="261"/>
      <c r="J5" s="535"/>
      <c r="K5" s="434"/>
      <c r="L5" s="434"/>
      <c r="M5" s="434"/>
      <c r="N5" s="261"/>
      <c r="O5" s="261"/>
      <c r="P5" s="261"/>
      <c r="Q5" s="535"/>
      <c r="R5" s="535"/>
      <c r="S5" s="535"/>
      <c r="T5" s="535"/>
    </row>
    <row r="6" spans="1:22" ht="12.6" customHeight="1" thickBot="1">
      <c r="B6" s="155"/>
      <c r="C6" s="1642">
        <v>2020</v>
      </c>
      <c r="D6" s="1643"/>
      <c r="E6" s="1644"/>
      <c r="F6" s="1642">
        <v>2021</v>
      </c>
      <c r="G6" s="1643"/>
      <c r="H6" s="1644"/>
      <c r="I6" s="1642">
        <v>2022</v>
      </c>
      <c r="J6" s="1643"/>
      <c r="K6" s="1644"/>
      <c r="M6" s="1642">
        <v>2020</v>
      </c>
      <c r="N6" s="1643"/>
      <c r="O6" s="1644"/>
      <c r="P6" s="1642">
        <v>2021</v>
      </c>
      <c r="Q6" s="1643"/>
      <c r="R6" s="1643"/>
      <c r="S6" s="1642">
        <v>2022</v>
      </c>
      <c r="T6" s="1643"/>
      <c r="U6" s="1643"/>
    </row>
    <row r="7" spans="1:22" s="434" customFormat="1" ht="15" customHeight="1" thickBot="1">
      <c r="B7" s="534" t="s">
        <v>153</v>
      </c>
      <c r="C7" s="433" t="s">
        <v>87</v>
      </c>
      <c r="D7" s="433" t="s">
        <v>130</v>
      </c>
      <c r="E7" s="813" t="s">
        <v>47</v>
      </c>
      <c r="F7" s="882" t="s">
        <v>87</v>
      </c>
      <c r="G7" s="882" t="s">
        <v>130</v>
      </c>
      <c r="H7" s="881" t="s">
        <v>47</v>
      </c>
      <c r="I7" s="1065" t="s">
        <v>87</v>
      </c>
      <c r="J7" s="1065" t="s">
        <v>130</v>
      </c>
      <c r="K7" s="1064" t="s">
        <v>47</v>
      </c>
      <c r="M7" s="766" t="s">
        <v>87</v>
      </c>
      <c r="N7" s="766" t="s">
        <v>130</v>
      </c>
      <c r="O7" s="666" t="s">
        <v>47</v>
      </c>
      <c r="P7" s="1065" t="s">
        <v>87</v>
      </c>
      <c r="Q7" s="1065" t="s">
        <v>130</v>
      </c>
      <c r="R7" s="1064" t="s">
        <v>47</v>
      </c>
      <c r="S7" s="1065" t="s">
        <v>87</v>
      </c>
      <c r="T7" s="1065" t="s">
        <v>130</v>
      </c>
      <c r="U7" s="1064" t="s">
        <v>47</v>
      </c>
      <c r="V7"/>
    </row>
    <row r="8" spans="1:22" s="434" customFormat="1" ht="15" customHeight="1" thickBot="1">
      <c r="B8" s="437" t="s">
        <v>441</v>
      </c>
      <c r="C8" s="692">
        <v>6</v>
      </c>
      <c r="D8" s="692">
        <v>9</v>
      </c>
      <c r="E8" s="815">
        <f>SUM(C8:D8)</f>
        <v>15</v>
      </c>
      <c r="F8" s="692">
        <v>2</v>
      </c>
      <c r="G8" s="692">
        <v>4</v>
      </c>
      <c r="H8" s="815">
        <f>SUM(F8:G8)</f>
        <v>6</v>
      </c>
      <c r="I8" s="1474">
        <v>18</v>
      </c>
      <c r="J8" s="1474">
        <v>9</v>
      </c>
      <c r="K8" s="815">
        <f t="shared" ref="K8:K13" si="0">SUM(I8:J8)</f>
        <v>27</v>
      </c>
      <c r="M8" s="692">
        <v>20</v>
      </c>
      <c r="N8" s="692">
        <v>28</v>
      </c>
      <c r="O8" s="433">
        <f t="shared" ref="O8:O12" si="1">SUM(M8:N8)</f>
        <v>48</v>
      </c>
      <c r="P8" s="692">
        <v>3</v>
      </c>
      <c r="Q8" s="692">
        <v>9</v>
      </c>
      <c r="R8" s="815">
        <f>SUM(P8:Q8)</f>
        <v>12</v>
      </c>
      <c r="S8" s="1475">
        <v>53.5</v>
      </c>
      <c r="T8" s="1475">
        <v>59</v>
      </c>
      <c r="U8" s="815">
        <f>SUM(S8:T8)</f>
        <v>112.5</v>
      </c>
      <c r="V8"/>
    </row>
    <row r="9" spans="1:22" s="434" customFormat="1" ht="27" customHeight="1" thickBot="1">
      <c r="B9" s="438" t="s">
        <v>449</v>
      </c>
      <c r="C9" s="692">
        <v>89</v>
      </c>
      <c r="D9" s="692">
        <v>66</v>
      </c>
      <c r="E9" s="815">
        <f t="shared" ref="E9:E16" si="2">SUM(C9:D9)</f>
        <v>155</v>
      </c>
      <c r="F9" s="692">
        <v>109</v>
      </c>
      <c r="G9" s="692">
        <v>82</v>
      </c>
      <c r="H9" s="815">
        <f t="shared" ref="H9:H16" si="3">SUM(F9:G9)</f>
        <v>191</v>
      </c>
      <c r="I9" s="1474">
        <v>63</v>
      </c>
      <c r="J9" s="1474">
        <v>50</v>
      </c>
      <c r="K9" s="815">
        <f t="shared" si="0"/>
        <v>113</v>
      </c>
      <c r="M9" s="692">
        <v>203</v>
      </c>
      <c r="N9" s="692">
        <v>140</v>
      </c>
      <c r="O9" s="433">
        <f t="shared" si="1"/>
        <v>343</v>
      </c>
      <c r="P9" s="692">
        <v>312</v>
      </c>
      <c r="Q9" s="692">
        <v>337</v>
      </c>
      <c r="R9" s="815">
        <f t="shared" ref="R9:R16" si="4">SUM(P9:Q9)</f>
        <v>649</v>
      </c>
      <c r="S9" s="1475">
        <v>231</v>
      </c>
      <c r="T9" s="1475">
        <v>139</v>
      </c>
      <c r="U9" s="815">
        <f t="shared" ref="U9:U16" si="5">SUM(S9:T9)</f>
        <v>370</v>
      </c>
      <c r="V9"/>
    </row>
    <row r="10" spans="1:22" s="434" customFormat="1" ht="29.65" customHeight="1" thickBot="1">
      <c r="B10" s="438" t="s">
        <v>801</v>
      </c>
      <c r="C10" s="692">
        <v>24</v>
      </c>
      <c r="D10" s="692">
        <v>7</v>
      </c>
      <c r="E10" s="815">
        <f t="shared" si="2"/>
        <v>31</v>
      </c>
      <c r="F10" s="692">
        <v>71</v>
      </c>
      <c r="G10" s="692">
        <v>49</v>
      </c>
      <c r="H10" s="815">
        <f t="shared" si="3"/>
        <v>120</v>
      </c>
      <c r="I10" s="1474">
        <v>13</v>
      </c>
      <c r="J10" s="1474">
        <v>19</v>
      </c>
      <c r="K10" s="815">
        <f t="shared" si="0"/>
        <v>32</v>
      </c>
      <c r="M10" s="692">
        <v>30</v>
      </c>
      <c r="N10" s="692">
        <v>15</v>
      </c>
      <c r="O10" s="433">
        <f t="shared" si="1"/>
        <v>45</v>
      </c>
      <c r="P10" s="692">
        <v>242</v>
      </c>
      <c r="Q10" s="692">
        <v>373</v>
      </c>
      <c r="R10" s="815">
        <f t="shared" si="4"/>
        <v>615</v>
      </c>
      <c r="S10" s="1475">
        <v>79</v>
      </c>
      <c r="T10" s="1475">
        <v>119</v>
      </c>
      <c r="U10" s="815">
        <f t="shared" si="5"/>
        <v>198</v>
      </c>
      <c r="V10"/>
    </row>
    <row r="11" spans="1:22" s="434" customFormat="1" ht="15" customHeight="1" thickBot="1">
      <c r="B11" s="437" t="s">
        <v>444</v>
      </c>
      <c r="C11" s="692"/>
      <c r="D11" s="692"/>
      <c r="E11" s="815"/>
      <c r="F11" s="692"/>
      <c r="G11" s="692"/>
      <c r="H11" s="815"/>
      <c r="I11" s="1474"/>
      <c r="J11" s="1474"/>
      <c r="K11" s="815"/>
      <c r="M11" s="692"/>
      <c r="N11" s="692"/>
      <c r="O11" s="433"/>
      <c r="P11" s="692"/>
      <c r="Q11" s="692"/>
      <c r="R11" s="815"/>
      <c r="S11" s="1475"/>
      <c r="T11" s="1475"/>
      <c r="U11" s="815"/>
      <c r="V11"/>
    </row>
    <row r="12" spans="1:22" s="434" customFormat="1" ht="15" customHeight="1" thickBot="1">
      <c r="B12" s="437" t="s">
        <v>445</v>
      </c>
      <c r="C12" s="692">
        <v>14</v>
      </c>
      <c r="D12" s="692">
        <v>21</v>
      </c>
      <c r="E12" s="815">
        <f t="shared" si="2"/>
        <v>35</v>
      </c>
      <c r="F12" s="692">
        <v>3</v>
      </c>
      <c r="G12" s="692">
        <v>4</v>
      </c>
      <c r="H12" s="815">
        <f t="shared" si="3"/>
        <v>7</v>
      </c>
      <c r="I12" s="1474">
        <v>7</v>
      </c>
      <c r="J12" s="1474">
        <v>2</v>
      </c>
      <c r="K12" s="815">
        <f t="shared" si="0"/>
        <v>9</v>
      </c>
      <c r="M12" s="692">
        <v>321</v>
      </c>
      <c r="N12" s="692">
        <v>699</v>
      </c>
      <c r="O12" s="433">
        <f t="shared" si="1"/>
        <v>1020</v>
      </c>
      <c r="P12" s="692">
        <v>96</v>
      </c>
      <c r="Q12" s="692">
        <v>238</v>
      </c>
      <c r="R12" s="815">
        <f t="shared" si="4"/>
        <v>334</v>
      </c>
      <c r="S12" s="1475">
        <v>386</v>
      </c>
      <c r="T12" s="1475">
        <v>56</v>
      </c>
      <c r="U12" s="815">
        <f t="shared" si="5"/>
        <v>442</v>
      </c>
      <c r="V12"/>
    </row>
    <row r="13" spans="1:22" s="434" customFormat="1" ht="15" customHeight="1" thickBot="1">
      <c r="B13" s="437" t="s">
        <v>490</v>
      </c>
      <c r="C13" s="692">
        <v>2</v>
      </c>
      <c r="D13" s="692"/>
      <c r="E13" s="815"/>
      <c r="F13" s="692">
        <v>2</v>
      </c>
      <c r="G13" s="692">
        <v>1</v>
      </c>
      <c r="H13" s="815">
        <f t="shared" si="3"/>
        <v>3</v>
      </c>
      <c r="I13" s="1474"/>
      <c r="J13" s="1474"/>
      <c r="K13" s="815">
        <f t="shared" si="0"/>
        <v>0</v>
      </c>
      <c r="M13" s="692">
        <v>4</v>
      </c>
      <c r="N13" s="692"/>
      <c r="O13" s="433"/>
      <c r="P13" s="692">
        <v>12</v>
      </c>
      <c r="Q13" s="692">
        <v>1.5</v>
      </c>
      <c r="R13" s="815">
        <f t="shared" si="4"/>
        <v>13.5</v>
      </c>
      <c r="S13" s="1475"/>
      <c r="T13" s="1475"/>
      <c r="U13" s="815">
        <f t="shared" si="5"/>
        <v>0</v>
      </c>
      <c r="V13"/>
    </row>
    <row r="14" spans="1:22" s="434" customFormat="1" ht="15" customHeight="1" thickBot="1">
      <c r="B14" s="437" t="s">
        <v>491</v>
      </c>
      <c r="C14" s="692"/>
      <c r="D14" s="692"/>
      <c r="E14" s="815"/>
      <c r="F14" s="692"/>
      <c r="G14" s="692"/>
      <c r="H14" s="815"/>
      <c r="I14" s="1474"/>
      <c r="J14" s="1474"/>
      <c r="K14" s="815"/>
      <c r="M14" s="692"/>
      <c r="N14" s="692"/>
      <c r="O14" s="433"/>
      <c r="P14" s="692"/>
      <c r="Q14" s="692"/>
      <c r="R14" s="815"/>
      <c r="S14" s="1475"/>
      <c r="T14" s="1475"/>
      <c r="U14" s="815"/>
      <c r="V14"/>
    </row>
    <row r="15" spans="1:22" s="434" customFormat="1" ht="15" customHeight="1" thickBot="1">
      <c r="B15" s="437" t="s">
        <v>446</v>
      </c>
      <c r="C15" s="692"/>
      <c r="D15" s="692"/>
      <c r="E15" s="815">
        <f t="shared" si="2"/>
        <v>0</v>
      </c>
      <c r="F15" s="692"/>
      <c r="G15" s="692"/>
      <c r="H15" s="815"/>
      <c r="I15" s="1474">
        <v>21</v>
      </c>
      <c r="J15" s="1474">
        <v>26</v>
      </c>
      <c r="K15" s="815"/>
      <c r="M15" s="692"/>
      <c r="N15" s="692"/>
      <c r="O15" s="433">
        <f>SUM(M15:N15)</f>
        <v>0</v>
      </c>
      <c r="P15" s="692"/>
      <c r="Q15" s="692"/>
      <c r="R15" s="815"/>
      <c r="S15" s="1475">
        <v>98</v>
      </c>
      <c r="T15" s="1475">
        <v>103</v>
      </c>
      <c r="U15" s="815"/>
      <c r="V15"/>
    </row>
    <row r="16" spans="1:22" s="434" customFormat="1" ht="15" customHeight="1" thickBot="1">
      <c r="B16" s="437" t="s">
        <v>608</v>
      </c>
      <c r="C16" s="692">
        <v>64</v>
      </c>
      <c r="D16" s="692">
        <v>84</v>
      </c>
      <c r="E16" s="815">
        <f t="shared" si="2"/>
        <v>148</v>
      </c>
      <c r="F16" s="692">
        <v>156</v>
      </c>
      <c r="G16" s="692">
        <v>105</v>
      </c>
      <c r="H16" s="815">
        <f t="shared" si="3"/>
        <v>261</v>
      </c>
      <c r="I16" s="1474">
        <v>70</v>
      </c>
      <c r="J16" s="1474">
        <v>53</v>
      </c>
      <c r="K16" s="815">
        <f t="shared" ref="K16" si="6">SUM(I16:J16)</f>
        <v>123</v>
      </c>
      <c r="M16" s="692">
        <v>188</v>
      </c>
      <c r="N16" s="692">
        <v>134</v>
      </c>
      <c r="O16" s="433">
        <f>SUM(M16:N16)</f>
        <v>322</v>
      </c>
      <c r="P16" s="692">
        <v>432</v>
      </c>
      <c r="Q16" s="692">
        <v>307</v>
      </c>
      <c r="R16" s="815">
        <f t="shared" si="4"/>
        <v>739</v>
      </c>
      <c r="S16" s="1475">
        <v>180</v>
      </c>
      <c r="T16" s="1475">
        <v>123.5</v>
      </c>
      <c r="U16" s="815">
        <f t="shared" si="5"/>
        <v>303.5</v>
      </c>
      <c r="V16"/>
    </row>
    <row r="17" spans="2:22" s="139" customFormat="1" ht="15" customHeight="1" thickBot="1">
      <c r="B17" s="436" t="s">
        <v>762</v>
      </c>
      <c r="C17" s="815">
        <f>SUM(C8:C16)</f>
        <v>199</v>
      </c>
      <c r="D17" s="815">
        <f>SUM(D8:D16)</f>
        <v>187</v>
      </c>
      <c r="E17" s="433"/>
      <c r="F17" s="815">
        <f>SUM(F8:F16)</f>
        <v>343</v>
      </c>
      <c r="G17" s="815">
        <f>SUM(G8:G16)</f>
        <v>245</v>
      </c>
      <c r="H17" s="433"/>
      <c r="I17" s="815">
        <f>SUM(I8:I16)</f>
        <v>192</v>
      </c>
      <c r="J17" s="815">
        <f>SUM(J8:J16)</f>
        <v>159</v>
      </c>
      <c r="K17" s="433"/>
      <c r="M17" s="815">
        <f>SUM(M8:M16)</f>
        <v>766</v>
      </c>
      <c r="N17" s="433">
        <f>SUM(N8:N16)</f>
        <v>1016</v>
      </c>
      <c r="O17" s="433"/>
      <c r="P17" s="815">
        <f>SUM(P8:P16)</f>
        <v>1097</v>
      </c>
      <c r="Q17" s="815">
        <f>SUM(Q8:Q16)</f>
        <v>1265.5</v>
      </c>
      <c r="R17" s="433"/>
      <c r="S17" s="815">
        <f>SUM(S8:S16)</f>
        <v>1027.5</v>
      </c>
      <c r="T17" s="815">
        <f>SUM(T8:T16)</f>
        <v>599.5</v>
      </c>
      <c r="U17" s="433"/>
      <c r="V17"/>
    </row>
    <row r="18" spans="2:22" s="139" customFormat="1" ht="15" customHeight="1" thickBot="1">
      <c r="B18" s="436" t="s">
        <v>47</v>
      </c>
      <c r="C18" s="1645">
        <f>C17+D17</f>
        <v>386</v>
      </c>
      <c r="D18" s="1644"/>
      <c r="E18" s="815">
        <f>SUM(E8:E17)</f>
        <v>384</v>
      </c>
      <c r="F18" s="1645">
        <f>F17+G17</f>
        <v>588</v>
      </c>
      <c r="G18" s="1644"/>
      <c r="H18" s="815">
        <f>SUM(H8:H17)</f>
        <v>588</v>
      </c>
      <c r="I18" s="1645">
        <f>I17+J17</f>
        <v>351</v>
      </c>
      <c r="J18" s="1644"/>
      <c r="K18" s="815">
        <f>SUM(K8:K17)</f>
        <v>304</v>
      </c>
      <c r="M18" s="1645">
        <f>SUM(M17:N17)</f>
        <v>1782</v>
      </c>
      <c r="N18" s="1644"/>
      <c r="O18" s="433">
        <f>SUM(O8:O16)</f>
        <v>1778</v>
      </c>
      <c r="P18" s="1645">
        <f>SUM(P17:Q17)</f>
        <v>2362.5</v>
      </c>
      <c r="Q18" s="1644"/>
      <c r="R18" s="815">
        <f>SUM(R8:R16)</f>
        <v>2362.5</v>
      </c>
      <c r="S18" s="1645">
        <f>SUM(S17:T17)</f>
        <v>1627</v>
      </c>
      <c r="T18" s="1644"/>
      <c r="U18" s="815">
        <f>SUM(U8:U16)</f>
        <v>1426</v>
      </c>
      <c r="V18"/>
    </row>
    <row r="19" spans="2:22" s="435" customFormat="1" ht="9.6" customHeight="1">
      <c r="U19"/>
      <c r="V19"/>
    </row>
    <row r="20" spans="2:22" ht="15">
      <c r="B20" s="201"/>
    </row>
    <row r="25" spans="2:22">
      <c r="B25" s="282"/>
    </row>
    <row r="30" spans="2:22">
      <c r="B30" s="56" t="s">
        <v>790</v>
      </c>
      <c r="C30" s="1026">
        <v>128</v>
      </c>
      <c r="D30" s="909">
        <f>C30/EffectifGlobal!F10</f>
        <v>0.130879345603272</v>
      </c>
      <c r="J30" s="909">
        <f>(Formation2!I17+Formation!T21+Formation!V21+Formation!X21)/(Formation!Z22+Formation2!I18)</f>
        <v>0.70605612998522893</v>
      </c>
      <c r="Q30" s="56" t="s">
        <v>790</v>
      </c>
      <c r="R30" s="56">
        <f>U18/K18</f>
        <v>4.6907894736842106</v>
      </c>
      <c r="S30" s="909"/>
      <c r="T30" s="909"/>
    </row>
    <row r="31" spans="2:22">
      <c r="B31" s="56" t="s">
        <v>792</v>
      </c>
      <c r="C31" s="1026">
        <v>136</v>
      </c>
      <c r="D31" s="909">
        <f>C31/(137+69)</f>
        <v>0.66019417475728159</v>
      </c>
      <c r="Q31" s="56" t="s">
        <v>791</v>
      </c>
      <c r="R31" s="56">
        <f>Formation!Z39/Formation!Z22</f>
        <v>6.4057826520438681</v>
      </c>
    </row>
    <row r="32" spans="2:22">
      <c r="B32" s="56" t="s">
        <v>793</v>
      </c>
      <c r="C32" s="190">
        <v>138</v>
      </c>
      <c r="D32" s="909">
        <f>C32/(138+70)</f>
        <v>0.66346153846153844</v>
      </c>
    </row>
    <row r="33" spans="2:20" ht="12.6" customHeight="1">
      <c r="B33" s="1024" t="s">
        <v>794</v>
      </c>
      <c r="C33" s="190">
        <v>191</v>
      </c>
      <c r="D33" s="909">
        <f>C33/(145+95)</f>
        <v>0.79583333333333328</v>
      </c>
      <c r="E33" s="720"/>
    </row>
    <row r="34" spans="2:20">
      <c r="E34" s="720"/>
    </row>
    <row r="35" spans="2:20">
      <c r="J35" s="927">
        <f>(F17+Formation!O21+Formation!M21+Formation!K21)/(Formation2!F18+Formation!K22+Formation!M22+Formation!O22)</f>
        <v>0.67242620590352775</v>
      </c>
      <c r="Q35" s="927"/>
      <c r="R35" s="927"/>
      <c r="S35" s="927"/>
      <c r="T35" s="927"/>
    </row>
    <row r="57" spans="14:25">
      <c r="N57" s="166"/>
      <c r="O57" s="166"/>
      <c r="W57" s="166"/>
      <c r="X57" s="166"/>
      <c r="Y57" s="166"/>
    </row>
  </sheetData>
  <mergeCells count="12">
    <mergeCell ref="P18:Q18"/>
    <mergeCell ref="P6:R6"/>
    <mergeCell ref="S6:U6"/>
    <mergeCell ref="S18:T18"/>
    <mergeCell ref="M18:N18"/>
    <mergeCell ref="C6:E6"/>
    <mergeCell ref="F6:H6"/>
    <mergeCell ref="F18:G18"/>
    <mergeCell ref="C18:D18"/>
    <mergeCell ref="M6:O6"/>
    <mergeCell ref="I6:K6"/>
    <mergeCell ref="I18:J18"/>
  </mergeCells>
  <pageMargins left="0.11811023622047245" right="0.11811023622047245" top="0.35433070866141736" bottom="0.35433070866141736" header="0.31496062992125984" footer="0.31496062992125984"/>
  <pageSetup paperSize="9" scale="98"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V42"/>
  <sheetViews>
    <sheetView showGridLines="0" topLeftCell="A2" zoomScaleNormal="100" zoomScaleSheetLayoutView="100" workbookViewId="0">
      <selection activeCell="O19" sqref="O19"/>
    </sheetView>
  </sheetViews>
  <sheetFormatPr baseColWidth="10" defaultColWidth="10.5" defaultRowHeight="11.25"/>
  <cols>
    <col min="1" max="1" width="10.5" style="56"/>
    <col min="2" max="2" width="26.1640625" style="56" customWidth="1"/>
    <col min="3" max="3" width="5.6640625" style="56" customWidth="1"/>
    <col min="4" max="4" width="8" style="56" customWidth="1"/>
    <col min="5" max="10" width="5.6640625" style="56" customWidth="1"/>
    <col min="11" max="11" width="10.1640625" style="56" customWidth="1"/>
    <col min="12" max="12" width="7.1640625" style="56" customWidth="1"/>
    <col min="13" max="13" width="22.6640625" style="56" customWidth="1"/>
    <col min="14" max="21" width="5.6640625" style="56" customWidth="1"/>
    <col min="22" max="22" width="9" style="56" customWidth="1"/>
    <col min="23" max="16384" width="10.5" style="56"/>
  </cols>
  <sheetData>
    <row r="1" spans="1:22" s="261" customFormat="1" ht="16.5" customHeight="1">
      <c r="A1" s="230" t="s">
        <v>661</v>
      </c>
      <c r="C1" s="69"/>
      <c r="D1" s="343"/>
      <c r="E1" s="343"/>
      <c r="F1" s="343"/>
      <c r="G1" s="343"/>
      <c r="H1" s="343"/>
      <c r="I1" s="343"/>
      <c r="J1" s="343"/>
      <c r="K1" s="343"/>
    </row>
    <row r="2" spans="1:22" s="541" customFormat="1" ht="16.5" customHeight="1">
      <c r="B2" s="538"/>
      <c r="C2" s="539"/>
      <c r="D2" s="540"/>
      <c r="E2" s="540"/>
      <c r="F2" s="540"/>
      <c r="G2" s="540"/>
      <c r="H2" s="540"/>
      <c r="I2" s="540"/>
      <c r="J2" s="540"/>
      <c r="K2" s="540"/>
    </row>
    <row r="3" spans="1:22" s="541" customFormat="1" ht="16.5" customHeight="1" thickBot="1">
      <c r="B3" s="1666">
        <v>2020</v>
      </c>
      <c r="C3" s="1666"/>
      <c r="D3" s="1666"/>
      <c r="E3" s="1666"/>
      <c r="F3" s="1666"/>
      <c r="G3" s="1666"/>
      <c r="H3" s="1666"/>
      <c r="I3" s="1666"/>
      <c r="J3" s="1666"/>
      <c r="K3" s="1666"/>
      <c r="M3" s="1666">
        <v>2021</v>
      </c>
      <c r="N3" s="1666"/>
      <c r="O3" s="1666"/>
      <c r="P3" s="1666"/>
      <c r="Q3" s="1666"/>
      <c r="R3" s="1666"/>
      <c r="S3" s="1666"/>
      <c r="T3" s="1666"/>
      <c r="U3" s="1666"/>
      <c r="V3" s="1666"/>
    </row>
    <row r="4" spans="1:22" s="541" customFormat="1" ht="16.5" customHeight="1" thickBot="1">
      <c r="B4" s="1662" t="s">
        <v>453</v>
      </c>
      <c r="C4" s="1664" t="s">
        <v>123</v>
      </c>
      <c r="D4" s="1665"/>
      <c r="E4" s="1664" t="s">
        <v>421</v>
      </c>
      <c r="F4" s="1665"/>
      <c r="G4" s="1664" t="s">
        <v>422</v>
      </c>
      <c r="H4" s="1665"/>
      <c r="I4" s="1664" t="s">
        <v>423</v>
      </c>
      <c r="J4" s="1665"/>
      <c r="K4" s="1667" t="s">
        <v>47</v>
      </c>
      <c r="M4" s="1662" t="s">
        <v>453</v>
      </c>
      <c r="N4" s="1664" t="s">
        <v>123</v>
      </c>
      <c r="O4" s="1665"/>
      <c r="P4" s="1664" t="s">
        <v>421</v>
      </c>
      <c r="Q4" s="1665"/>
      <c r="R4" s="1664" t="s">
        <v>422</v>
      </c>
      <c r="S4" s="1665"/>
      <c r="T4" s="1664" t="s">
        <v>423</v>
      </c>
      <c r="U4" s="1665"/>
      <c r="V4" s="1667" t="s">
        <v>47</v>
      </c>
    </row>
    <row r="5" spans="1:22" s="541" customFormat="1" ht="21" customHeight="1" thickBot="1">
      <c r="B5" s="1663"/>
      <c r="C5" s="543" t="s">
        <v>87</v>
      </c>
      <c r="D5" s="543" t="s">
        <v>130</v>
      </c>
      <c r="E5" s="543" t="s">
        <v>87</v>
      </c>
      <c r="F5" s="543" t="s">
        <v>130</v>
      </c>
      <c r="G5" s="543" t="s">
        <v>87</v>
      </c>
      <c r="H5" s="543" t="s">
        <v>130</v>
      </c>
      <c r="I5" s="543" t="s">
        <v>87</v>
      </c>
      <c r="J5" s="543" t="s">
        <v>130</v>
      </c>
      <c r="K5" s="1668"/>
      <c r="M5" s="1663"/>
      <c r="N5" s="543" t="s">
        <v>87</v>
      </c>
      <c r="O5" s="543" t="s">
        <v>130</v>
      </c>
      <c r="P5" s="543" t="s">
        <v>87</v>
      </c>
      <c r="Q5" s="543" t="s">
        <v>130</v>
      </c>
      <c r="R5" s="543" t="s">
        <v>87</v>
      </c>
      <c r="S5" s="543" t="s">
        <v>130</v>
      </c>
      <c r="T5" s="543" t="s">
        <v>87</v>
      </c>
      <c r="U5" s="543" t="s">
        <v>130</v>
      </c>
      <c r="V5" s="1668"/>
    </row>
    <row r="6" spans="1:22" s="544" customFormat="1" ht="18.600000000000001" customHeight="1" thickBot="1">
      <c r="B6" s="537" t="s">
        <v>529</v>
      </c>
      <c r="C6" s="816"/>
      <c r="D6" s="816"/>
      <c r="E6" s="816"/>
      <c r="F6" s="816"/>
      <c r="G6" s="816"/>
      <c r="H6" s="816"/>
      <c r="I6" s="816"/>
      <c r="J6" s="816"/>
      <c r="K6" s="520">
        <f>SUM(C6:J6)</f>
        <v>0</v>
      </c>
      <c r="M6" s="537" t="s">
        <v>529</v>
      </c>
      <c r="N6" s="816"/>
      <c r="O6" s="816"/>
      <c r="P6" s="816"/>
      <c r="Q6" s="816"/>
      <c r="R6" s="816"/>
      <c r="S6" s="816"/>
      <c r="T6" s="816"/>
      <c r="U6" s="816"/>
      <c r="V6" s="520">
        <f>SUM(N6:U6)</f>
        <v>0</v>
      </c>
    </row>
    <row r="7" spans="1:22" s="545" customFormat="1" ht="18.600000000000001" customHeight="1" thickBot="1">
      <c r="B7" s="537" t="s">
        <v>530</v>
      </c>
      <c r="C7" s="816"/>
      <c r="D7" s="816">
        <v>1</v>
      </c>
      <c r="E7" s="816">
        <v>1</v>
      </c>
      <c r="F7" s="816"/>
      <c r="G7" s="816"/>
      <c r="H7" s="816"/>
      <c r="I7" s="816"/>
      <c r="J7" s="816"/>
      <c r="K7" s="520">
        <f>SUM(C7:J7)</f>
        <v>2</v>
      </c>
      <c r="M7" s="537" t="s">
        <v>530</v>
      </c>
      <c r="N7" s="816"/>
      <c r="O7" s="816"/>
      <c r="P7" s="816"/>
      <c r="Q7" s="1020"/>
      <c r="R7" s="1020"/>
      <c r="S7" s="1020"/>
      <c r="T7" s="1020"/>
      <c r="U7" s="1020"/>
      <c r="V7" s="520">
        <f>SUM(N7:U7)</f>
        <v>0</v>
      </c>
    </row>
    <row r="8" spans="1:22" s="545" customFormat="1" ht="18.600000000000001" customHeight="1" thickBot="1">
      <c r="B8" s="537" t="s">
        <v>532</v>
      </c>
      <c r="C8" s="816"/>
      <c r="D8" s="816"/>
      <c r="E8" s="816">
        <v>1</v>
      </c>
      <c r="F8" s="816"/>
      <c r="G8" s="816">
        <v>1</v>
      </c>
      <c r="H8" s="816"/>
      <c r="I8" s="816"/>
      <c r="J8" s="816"/>
      <c r="K8" s="520">
        <f>SUM(C8:J8)</f>
        <v>2</v>
      </c>
      <c r="M8" s="537" t="s">
        <v>532</v>
      </c>
      <c r="N8" s="816"/>
      <c r="O8" s="816">
        <v>1</v>
      </c>
      <c r="P8" s="816"/>
      <c r="Q8" s="1020"/>
      <c r="R8" s="816">
        <v>1</v>
      </c>
      <c r="S8" s="1020"/>
      <c r="T8" s="816"/>
      <c r="U8" s="1020"/>
      <c r="V8" s="520">
        <f>SUM(N8:U8)</f>
        <v>2</v>
      </c>
    </row>
    <row r="9" spans="1:22" s="512" customFormat="1" ht="16.5" customHeight="1">
      <c r="C9" s="202"/>
      <c r="D9" s="202"/>
      <c r="E9" s="202"/>
      <c r="F9" s="202"/>
      <c r="G9" s="202"/>
      <c r="H9" s="202"/>
      <c r="I9" s="202"/>
      <c r="J9" s="202"/>
      <c r="K9" s="202"/>
      <c r="L9" s="202"/>
      <c r="M9" s="202"/>
      <c r="N9" s="202"/>
      <c r="O9" s="202"/>
      <c r="P9" s="202"/>
      <c r="Q9" s="202"/>
      <c r="R9" s="202"/>
      <c r="S9" s="202"/>
      <c r="T9" s="202"/>
      <c r="U9" s="202"/>
      <c r="V9" s="202"/>
    </row>
    <row r="10" spans="1:22" s="541" customFormat="1" ht="16.5" customHeight="1" thickBot="1">
      <c r="B10" s="1204">
        <v>2022</v>
      </c>
      <c r="C10" s="1204"/>
      <c r="D10" s="1204"/>
      <c r="E10" s="1204"/>
      <c r="F10" s="1204"/>
      <c r="G10" s="1204"/>
      <c r="H10" s="1204"/>
      <c r="I10" s="1204"/>
      <c r="J10" s="1204"/>
      <c r="K10" s="1204"/>
      <c r="M10" s="1666"/>
      <c r="N10" s="1666"/>
      <c r="O10" s="1666"/>
      <c r="P10" s="1666"/>
      <c r="Q10" s="1666"/>
      <c r="R10" s="1666"/>
      <c r="S10" s="1666"/>
      <c r="T10" s="1666"/>
      <c r="U10" s="1666"/>
      <c r="V10" s="1666"/>
    </row>
    <row r="11" spans="1:22" s="541" customFormat="1" ht="16.5" customHeight="1" thickBot="1">
      <c r="B11" s="1662" t="s">
        <v>453</v>
      </c>
      <c r="C11" s="1664" t="s">
        <v>123</v>
      </c>
      <c r="D11" s="1665"/>
      <c r="E11" s="1664" t="s">
        <v>421</v>
      </c>
      <c r="F11" s="1665"/>
      <c r="G11" s="1664" t="s">
        <v>422</v>
      </c>
      <c r="H11" s="1665"/>
      <c r="I11" s="1664" t="s">
        <v>423</v>
      </c>
      <c r="J11" s="1665"/>
      <c r="K11" s="1667" t="s">
        <v>47</v>
      </c>
      <c r="M11"/>
      <c r="N11"/>
      <c r="O11"/>
      <c r="P11"/>
      <c r="Q11"/>
      <c r="R11"/>
      <c r="S11"/>
      <c r="T11"/>
      <c r="U11"/>
      <c r="V11"/>
    </row>
    <row r="12" spans="1:22" s="541" customFormat="1" ht="21" customHeight="1" thickBot="1">
      <c r="B12" s="1663"/>
      <c r="C12" s="543" t="s">
        <v>87</v>
      </c>
      <c r="D12" s="543" t="s">
        <v>130</v>
      </c>
      <c r="E12" s="543" t="s">
        <v>87</v>
      </c>
      <c r="F12" s="543" t="s">
        <v>130</v>
      </c>
      <c r="G12" s="543" t="s">
        <v>87</v>
      </c>
      <c r="H12" s="543" t="s">
        <v>130</v>
      </c>
      <c r="I12" s="543" t="s">
        <v>87</v>
      </c>
      <c r="J12" s="543" t="s">
        <v>130</v>
      </c>
      <c r="K12" s="1668"/>
      <c r="M12"/>
      <c r="N12"/>
      <c r="O12"/>
      <c r="P12"/>
      <c r="Q12"/>
      <c r="R12"/>
      <c r="S12"/>
      <c r="T12"/>
      <c r="U12"/>
      <c r="V12"/>
    </row>
    <row r="13" spans="1:22" s="544" customFormat="1" ht="18.600000000000001" customHeight="1" thickBot="1">
      <c r="B13" s="537" t="s">
        <v>529</v>
      </c>
      <c r="C13" s="1411"/>
      <c r="D13" s="1411"/>
      <c r="E13" s="1411"/>
      <c r="F13" s="1411"/>
      <c r="G13" s="1411"/>
      <c r="H13" s="1411"/>
      <c r="I13" s="1411"/>
      <c r="J13" s="1411"/>
      <c r="K13" s="520">
        <f>SUM(C13:J13)</f>
        <v>0</v>
      </c>
      <c r="M13"/>
      <c r="N13"/>
      <c r="O13"/>
      <c r="P13"/>
      <c r="Q13"/>
      <c r="R13"/>
      <c r="S13"/>
      <c r="T13"/>
      <c r="U13"/>
      <c r="V13"/>
    </row>
    <row r="14" spans="1:22" s="545" customFormat="1" ht="18.600000000000001" customHeight="1" thickBot="1">
      <c r="B14" s="537" t="s">
        <v>530</v>
      </c>
      <c r="C14" s="1411"/>
      <c r="D14" s="1411"/>
      <c r="E14" s="1411">
        <v>1</v>
      </c>
      <c r="F14" s="1411"/>
      <c r="G14" s="1411"/>
      <c r="H14" s="1411"/>
      <c r="I14" s="1411"/>
      <c r="J14" s="1411"/>
      <c r="K14" s="520">
        <f>SUM(C14:J14)</f>
        <v>1</v>
      </c>
      <c r="M14"/>
      <c r="N14"/>
      <c r="O14"/>
      <c r="P14"/>
      <c r="Q14"/>
      <c r="R14"/>
      <c r="S14"/>
      <c r="T14"/>
      <c r="U14"/>
      <c r="V14"/>
    </row>
    <row r="15" spans="1:22" s="545" customFormat="1" ht="18.600000000000001" customHeight="1" thickBot="1">
      <c r="B15" s="537" t="s">
        <v>532</v>
      </c>
      <c r="C15" s="1411"/>
      <c r="D15" s="1411">
        <v>1</v>
      </c>
      <c r="E15" s="1411"/>
      <c r="F15" s="1411"/>
      <c r="G15" s="1411">
        <v>1</v>
      </c>
      <c r="H15" s="1411"/>
      <c r="I15" s="1411"/>
      <c r="J15" s="1411"/>
      <c r="K15" s="520">
        <f>SUM(C15:J15)</f>
        <v>2</v>
      </c>
      <c r="M15"/>
      <c r="N15"/>
      <c r="O15"/>
      <c r="P15"/>
      <c r="Q15"/>
      <c r="R15"/>
      <c r="S15"/>
      <c r="T15"/>
      <c r="U15"/>
      <c r="V15"/>
    </row>
    <row r="16" spans="1:22" ht="18.600000000000001" customHeight="1">
      <c r="I16" s="523"/>
      <c r="J16" s="523"/>
      <c r="K16" s="523"/>
      <c r="L16" s="434"/>
    </row>
    <row r="17" spans="1:21" ht="18" customHeight="1">
      <c r="A17" s="230" t="s">
        <v>662</v>
      </c>
      <c r="B17" s="250"/>
    </row>
    <row r="18" spans="1:21">
      <c r="B18" s="250"/>
    </row>
    <row r="19" spans="1:21" ht="23.65" customHeight="1">
      <c r="B19" s="540"/>
      <c r="C19" s="1659" t="s">
        <v>154</v>
      </c>
      <c r="D19" s="1660"/>
      <c r="E19" s="1659" t="s">
        <v>155</v>
      </c>
      <c r="F19" s="1660"/>
      <c r="G19" s="1661" t="s">
        <v>47</v>
      </c>
      <c r="H19" s="1641"/>
      <c r="L19" s="69"/>
      <c r="M19" s="232"/>
      <c r="N19" s="171">
        <f>G23</f>
        <v>163300</v>
      </c>
      <c r="O19" s="331">
        <f>Rémunérations!G67+Rémunérations!G68</f>
        <v>27332985</v>
      </c>
      <c r="P19" s="1021">
        <f>N19/O19</f>
        <v>5.9744663819191355E-3</v>
      </c>
    </row>
    <row r="20" spans="1:21" ht="5.25" customHeight="1" thickBot="1">
      <c r="B20" s="540"/>
      <c r="C20" s="542"/>
      <c r="D20" s="512"/>
      <c r="E20" s="542"/>
      <c r="F20" s="512"/>
      <c r="G20" s="536"/>
      <c r="H20" s="536"/>
    </row>
    <row r="21" spans="1:21" ht="12.75" thickBot="1">
      <c r="B21" s="520">
        <v>2020</v>
      </c>
      <c r="C21" s="1656">
        <v>145701</v>
      </c>
      <c r="D21" s="1657"/>
      <c r="E21" s="1656">
        <v>4299</v>
      </c>
      <c r="F21" s="1657"/>
      <c r="G21" s="1654">
        <f>SUM(C21,E21)</f>
        <v>150000</v>
      </c>
      <c r="H21" s="1655"/>
      <c r="N21" s="324"/>
      <c r="O21" s="324"/>
      <c r="P21" s="324"/>
    </row>
    <row r="22" spans="1:21" ht="12.75" thickBot="1">
      <c r="B22" s="520">
        <v>2021</v>
      </c>
      <c r="C22" s="1656">
        <v>154003</v>
      </c>
      <c r="D22" s="1657"/>
      <c r="E22" s="1656">
        <v>2744</v>
      </c>
      <c r="F22" s="1657"/>
      <c r="G22" s="1654">
        <f>SUM(C22,E22)</f>
        <v>156747</v>
      </c>
      <c r="H22" s="1655"/>
      <c r="I22" s="372"/>
      <c r="J22" s="372"/>
      <c r="K22" s="372"/>
      <c r="L22" s="372"/>
      <c r="M22" s="362"/>
      <c r="N22" s="363"/>
      <c r="O22" s="363"/>
      <c r="P22" s="363"/>
      <c r="U22" s="166"/>
    </row>
    <row r="23" spans="1:21" ht="12.75" thickBot="1">
      <c r="B23" s="520">
        <v>2022</v>
      </c>
      <c r="C23" s="1646">
        <v>150986</v>
      </c>
      <c r="D23" s="1647"/>
      <c r="E23" s="1646">
        <v>12314</v>
      </c>
      <c r="F23" s="1647"/>
      <c r="G23" s="1654">
        <f>SUM(C23,E23)</f>
        <v>163300</v>
      </c>
      <c r="H23" s="1655"/>
      <c r="M23" s="362"/>
      <c r="N23" s="363"/>
      <c r="O23" s="363"/>
      <c r="P23" s="493"/>
      <c r="U23" s="166"/>
    </row>
    <row r="24" spans="1:21">
      <c r="K24" s="136"/>
      <c r="M24" s="362"/>
      <c r="N24" s="363"/>
      <c r="O24" s="363"/>
      <c r="P24" s="493"/>
      <c r="U24" s="166"/>
    </row>
    <row r="25" spans="1:21">
      <c r="K25" s="136"/>
      <c r="M25" s="362"/>
      <c r="N25" s="363"/>
      <c r="O25" s="363"/>
      <c r="P25" s="493"/>
      <c r="U25" s="166"/>
    </row>
    <row r="26" spans="1:21" ht="21" hidden="1">
      <c r="A26" s="174" t="s">
        <v>635</v>
      </c>
      <c r="K26" s="136"/>
      <c r="U26" s="166"/>
    </row>
    <row r="27" spans="1:21" s="136" customFormat="1" hidden="1">
      <c r="D27" s="178"/>
      <c r="E27" s="262"/>
      <c r="F27" s="262"/>
      <c r="G27" s="58"/>
      <c r="H27" s="262"/>
      <c r="L27" s="56"/>
      <c r="U27" s="255"/>
    </row>
    <row r="28" spans="1:21" s="136" customFormat="1" hidden="1">
      <c r="B28" s="178"/>
      <c r="C28" s="58"/>
      <c r="D28" s="58"/>
      <c r="E28" s="262"/>
      <c r="F28" s="58"/>
      <c r="G28" s="58"/>
      <c r="H28" s="58"/>
      <c r="I28" s="262"/>
      <c r="J28" s="262"/>
      <c r="K28" s="262"/>
    </row>
    <row r="29" spans="1:21" s="136" customFormat="1" hidden="1">
      <c r="B29" s="178"/>
      <c r="C29" s="58"/>
      <c r="D29" s="58"/>
      <c r="E29" s="262"/>
      <c r="F29" s="58"/>
      <c r="G29" s="58"/>
      <c r="H29" s="58"/>
      <c r="I29" s="58"/>
      <c r="J29" s="58"/>
      <c r="K29" s="58"/>
      <c r="L29" s="262"/>
    </row>
    <row r="30" spans="1:21" s="136" customFormat="1" ht="12" hidden="1">
      <c r="B30" s="1658" t="s">
        <v>172</v>
      </c>
      <c r="C30" s="1658"/>
      <c r="D30" s="1658"/>
      <c r="E30" s="1658"/>
      <c r="F30" s="1658"/>
      <c r="G30" s="1658"/>
      <c r="H30" s="1658"/>
      <c r="I30" s="58"/>
      <c r="J30" s="58"/>
      <c r="K30" s="58"/>
      <c r="L30" s="262"/>
    </row>
    <row r="31" spans="1:21" s="136" customFormat="1" hidden="1">
      <c r="B31" s="56"/>
      <c r="C31" s="56"/>
      <c r="D31" s="372"/>
      <c r="E31" s="372"/>
      <c r="F31" s="372"/>
      <c r="G31" s="372"/>
      <c r="H31" s="372"/>
      <c r="I31" s="58"/>
      <c r="J31" s="58"/>
      <c r="K31" s="58"/>
      <c r="L31" s="262"/>
    </row>
    <row r="32" spans="1:21" s="136" customFormat="1" ht="12" hidden="1" thickBot="1">
      <c r="B32" s="56"/>
      <c r="C32" s="1650">
        <v>2018</v>
      </c>
      <c r="D32" s="1651"/>
      <c r="E32" s="1650">
        <v>2019</v>
      </c>
      <c r="F32" s="1651"/>
      <c r="G32" s="1650">
        <v>2020</v>
      </c>
      <c r="H32" s="1651"/>
      <c r="I32" s="58"/>
      <c r="J32" s="58"/>
      <c r="K32" s="58"/>
      <c r="L32" s="262"/>
    </row>
    <row r="33" spans="2:13" s="136" customFormat="1" ht="12" hidden="1" thickBot="1">
      <c r="B33" s="199" t="s">
        <v>119</v>
      </c>
      <c r="C33" s="1652">
        <v>0.98</v>
      </c>
      <c r="D33" s="1653"/>
      <c r="E33" s="1652">
        <v>0.89898989898989901</v>
      </c>
      <c r="F33" s="1653"/>
      <c r="G33" s="1648">
        <v>0.23</v>
      </c>
      <c r="H33" s="1649"/>
      <c r="I33" s="58"/>
      <c r="J33" s="58"/>
      <c r="K33" s="58"/>
      <c r="L33" s="262"/>
    </row>
    <row r="34" spans="2:13" s="136" customFormat="1" ht="12" hidden="1" thickBot="1">
      <c r="B34" s="199" t="s">
        <v>64</v>
      </c>
      <c r="C34" s="1652">
        <v>0.98</v>
      </c>
      <c r="D34" s="1653"/>
      <c r="E34" s="1652">
        <v>0.95238095238095233</v>
      </c>
      <c r="F34" s="1653"/>
      <c r="G34" s="1648">
        <v>0.86</v>
      </c>
      <c r="H34" s="1649"/>
      <c r="I34" s="58"/>
      <c r="J34" s="58"/>
      <c r="K34" s="58"/>
      <c r="L34" s="262"/>
    </row>
    <row r="35" spans="2:13" s="136" customFormat="1" ht="12" hidden="1" thickBot="1">
      <c r="B35" s="199" t="s">
        <v>14</v>
      </c>
      <c r="C35" s="1652">
        <v>0.96</v>
      </c>
      <c r="D35" s="1653"/>
      <c r="E35" s="1652">
        <v>0.73469387755102045</v>
      </c>
      <c r="F35" s="1653"/>
      <c r="G35" s="1648">
        <v>0.23</v>
      </c>
      <c r="H35" s="1649"/>
      <c r="I35" s="58"/>
      <c r="J35" s="58"/>
      <c r="K35" s="58"/>
      <c r="L35" s="262"/>
    </row>
    <row r="36" spans="2:13" ht="12" hidden="1" thickBot="1">
      <c r="B36" s="199" t="s">
        <v>171</v>
      </c>
      <c r="C36" s="1652">
        <v>0.23</v>
      </c>
      <c r="D36" s="1653"/>
      <c r="E36" s="1652">
        <v>1</v>
      </c>
      <c r="F36" s="1653"/>
      <c r="G36" s="1648">
        <v>0.28000000000000003</v>
      </c>
      <c r="H36" s="1649"/>
      <c r="I36" s="58"/>
      <c r="J36" s="58"/>
      <c r="K36" s="58"/>
      <c r="L36" s="262"/>
      <c r="M36" s="136"/>
    </row>
    <row r="37" spans="2:13" hidden="1">
      <c r="I37" s="58"/>
      <c r="J37" s="58"/>
      <c r="K37" s="58"/>
      <c r="L37" s="262"/>
      <c r="M37" s="136"/>
    </row>
    <row r="38" spans="2:13" hidden="1">
      <c r="C38"/>
      <c r="D38"/>
      <c r="E38"/>
      <c r="F38"/>
    </row>
    <row r="39" spans="2:13" hidden="1">
      <c r="C39"/>
      <c r="D39"/>
      <c r="E39"/>
      <c r="F39"/>
    </row>
    <row r="40" spans="2:13" hidden="1">
      <c r="C40"/>
      <c r="D40"/>
      <c r="E40"/>
      <c r="F40"/>
    </row>
    <row r="41" spans="2:13" hidden="1"/>
    <row r="42" spans="2:13" hidden="1"/>
  </sheetData>
  <mergeCells count="49">
    <mergeCell ref="B3:K3"/>
    <mergeCell ref="I11:J11"/>
    <mergeCell ref="K11:K12"/>
    <mergeCell ref="M3:V3"/>
    <mergeCell ref="P4:Q4"/>
    <mergeCell ref="V4:V5"/>
    <mergeCell ref="T4:U4"/>
    <mergeCell ref="R4:S4"/>
    <mergeCell ref="N4:O4"/>
    <mergeCell ref="M4:M5"/>
    <mergeCell ref="I4:J4"/>
    <mergeCell ref="K4:K5"/>
    <mergeCell ref="M10:V10"/>
    <mergeCell ref="C19:D19"/>
    <mergeCell ref="E19:F19"/>
    <mergeCell ref="G19:H19"/>
    <mergeCell ref="B4:B5"/>
    <mergeCell ref="C4:D4"/>
    <mergeCell ref="E4:F4"/>
    <mergeCell ref="G4:H4"/>
    <mergeCell ref="B11:B12"/>
    <mergeCell ref="C11:D11"/>
    <mergeCell ref="E11:F11"/>
    <mergeCell ref="G11:H11"/>
    <mergeCell ref="E21:F21"/>
    <mergeCell ref="C35:D35"/>
    <mergeCell ref="C36:D36"/>
    <mergeCell ref="C32:D32"/>
    <mergeCell ref="E34:F34"/>
    <mergeCell ref="E35:F35"/>
    <mergeCell ref="E36:F36"/>
    <mergeCell ref="B30:H30"/>
    <mergeCell ref="G21:H21"/>
    <mergeCell ref="C22:D22"/>
    <mergeCell ref="E22:F22"/>
    <mergeCell ref="G22:H22"/>
    <mergeCell ref="C33:D33"/>
    <mergeCell ref="C34:D34"/>
    <mergeCell ref="C21:D21"/>
    <mergeCell ref="C23:D23"/>
    <mergeCell ref="E23:F23"/>
    <mergeCell ref="G35:H35"/>
    <mergeCell ref="G36:H36"/>
    <mergeCell ref="G33:H33"/>
    <mergeCell ref="G34:H34"/>
    <mergeCell ref="E32:F32"/>
    <mergeCell ref="E33:F33"/>
    <mergeCell ref="G32:H32"/>
    <mergeCell ref="G23:H23"/>
  </mergeCells>
  <pageMargins left="0.11811023622047245" right="0.11811023622047245" top="0.35433070866141736" bottom="0.35433070866141736" header="0.31496062992125984" footer="0.31496062992125984"/>
  <pageSetup paperSize="9" scale="8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S200"/>
  <sheetViews>
    <sheetView showGridLines="0" zoomScaleNormal="100" zoomScaleSheetLayoutView="110" workbookViewId="0">
      <selection activeCell="H39" sqref="H39"/>
    </sheetView>
  </sheetViews>
  <sheetFormatPr baseColWidth="10" defaultColWidth="12" defaultRowHeight="11.25"/>
  <cols>
    <col min="1" max="1" width="14.1640625" style="56" customWidth="1"/>
    <col min="2" max="5" width="12" style="56" customWidth="1"/>
    <col min="6" max="8" width="12" style="56"/>
    <col min="9" max="10" width="12" style="56" customWidth="1"/>
    <col min="11" max="16" width="9" style="56" customWidth="1"/>
    <col min="17" max="16384" width="12" style="56"/>
  </cols>
  <sheetData>
    <row r="1" spans="1:14" ht="21">
      <c r="A1" s="174" t="s">
        <v>636</v>
      </c>
      <c r="E1" s="263"/>
    </row>
    <row r="2" spans="1:14" ht="7.5" customHeight="1"/>
    <row r="3" spans="1:14">
      <c r="A3" s="26" t="s">
        <v>1090</v>
      </c>
    </row>
    <row r="4" spans="1:14" ht="11.25" customHeight="1">
      <c r="E4" s="263"/>
    </row>
    <row r="5" spans="1:14" ht="18.75">
      <c r="A5" s="230" t="s">
        <v>663</v>
      </c>
    </row>
    <row r="6" spans="1:14" ht="11.25" customHeight="1">
      <c r="A6" s="230"/>
    </row>
    <row r="7" spans="1:14" ht="11.25" customHeight="1">
      <c r="A7" s="230"/>
      <c r="M7" s="56">
        <v>79</v>
      </c>
      <c r="N7" s="672">
        <f>SUM(M7:M7)</f>
        <v>79</v>
      </c>
    </row>
    <row r="8" spans="1:14" ht="11.25" customHeight="1">
      <c r="A8" s="230"/>
      <c r="N8" s="672">
        <f>EffectifBIATSS!L36</f>
        <v>614</v>
      </c>
    </row>
    <row r="9" spans="1:14" ht="11.25" customHeight="1">
      <c r="A9" s="230"/>
      <c r="N9" s="909">
        <f>N7/N8</f>
        <v>0.12866449511400652</v>
      </c>
    </row>
    <row r="10" spans="1:14" ht="11.25" customHeight="1">
      <c r="A10" s="230"/>
    </row>
    <row r="11" spans="1:14" ht="11.25" customHeight="1">
      <c r="A11" s="230"/>
    </row>
    <row r="12" spans="1:14" ht="11.25" customHeight="1">
      <c r="A12" s="755" t="s">
        <v>689</v>
      </c>
    </row>
    <row r="13" spans="1:14">
      <c r="G13"/>
      <c r="H13"/>
    </row>
    <row r="14" spans="1:14" ht="12">
      <c r="A14" s="289" t="s">
        <v>1096</v>
      </c>
      <c r="G14"/>
      <c r="H14"/>
    </row>
    <row r="15" spans="1:14">
      <c r="B15" s="728"/>
      <c r="G15"/>
      <c r="H15"/>
    </row>
    <row r="16" spans="1:14">
      <c r="G16" s="152"/>
      <c r="H16" s="152"/>
    </row>
    <row r="17" spans="1:19">
      <c r="A17" s="231"/>
      <c r="B17" s="524"/>
      <c r="C17" s="524"/>
      <c r="D17" s="524"/>
      <c r="E17" s="524"/>
      <c r="F17" s="524"/>
      <c r="G17"/>
      <c r="H17"/>
    </row>
    <row r="18" spans="1:19">
      <c r="A18" s="525"/>
      <c r="B18" s="231"/>
      <c r="C18" s="231"/>
      <c r="D18" s="231"/>
      <c r="E18" s="231"/>
      <c r="F18" s="525"/>
      <c r="I18" s="173"/>
      <c r="J18" s="172"/>
    </row>
    <row r="19" spans="1:19">
      <c r="A19" s="525"/>
      <c r="B19" s="231"/>
      <c r="C19" s="231"/>
      <c r="D19" s="231"/>
      <c r="E19" s="231"/>
      <c r="F19" s="525"/>
      <c r="J19" s="172"/>
    </row>
    <row r="20" spans="1:19">
      <c r="A20" s="525"/>
      <c r="B20" s="231"/>
      <c r="C20" s="231"/>
      <c r="D20" s="231"/>
      <c r="E20" s="231"/>
      <c r="F20" s="231"/>
    </row>
    <row r="22" spans="1:19">
      <c r="A22" s="231"/>
      <c r="B22" s="524">
        <v>0.5</v>
      </c>
      <c r="C22" s="524">
        <v>0.6</v>
      </c>
      <c r="D22" s="524">
        <v>0.7</v>
      </c>
      <c r="E22" s="524">
        <v>0.8</v>
      </c>
      <c r="F22" s="524">
        <v>0.9</v>
      </c>
    </row>
    <row r="23" spans="1:19">
      <c r="A23" s="525" t="s">
        <v>89</v>
      </c>
      <c r="B23" s="231">
        <v>4</v>
      </c>
      <c r="C23" s="231">
        <v>2</v>
      </c>
      <c r="D23" s="231">
        <v>3</v>
      </c>
      <c r="E23" s="231">
        <v>49</v>
      </c>
      <c r="F23" s="525">
        <v>5</v>
      </c>
      <c r="N23" s="1203"/>
    </row>
    <row r="24" spans="1:19">
      <c r="A24" s="525" t="s">
        <v>88</v>
      </c>
      <c r="B24" s="231">
        <v>3</v>
      </c>
      <c r="C24" s="231"/>
      <c r="D24" s="231">
        <v>1</v>
      </c>
      <c r="E24" s="231">
        <v>12</v>
      </c>
      <c r="F24" s="525"/>
    </row>
    <row r="25" spans="1:19">
      <c r="A25" s="525" t="s">
        <v>47</v>
      </c>
      <c r="B25" s="231">
        <f>SUM(B23:B24)</f>
        <v>7</v>
      </c>
      <c r="C25" s="231">
        <f t="shared" ref="C25" si="0">SUM(C23:C24)</f>
        <v>2</v>
      </c>
      <c r="D25" s="231">
        <f t="shared" ref="D25" si="1">SUM(D23:D24)</f>
        <v>4</v>
      </c>
      <c r="E25" s="231">
        <f t="shared" ref="E25" si="2">SUM(E23:E24)</f>
        <v>61</v>
      </c>
      <c r="F25" s="231">
        <f t="shared" ref="F25" si="3">SUM(F23:F24)</f>
        <v>5</v>
      </c>
      <c r="K25" s="166"/>
    </row>
    <row r="26" spans="1:19">
      <c r="A26"/>
    </row>
    <row r="27" spans="1:19">
      <c r="N27" s="1203"/>
      <c r="P27" s="159"/>
    </row>
    <row r="28" spans="1:19">
      <c r="P28" s="159"/>
    </row>
    <row r="29" spans="1:19">
      <c r="D29" s="67"/>
      <c r="E29" s="67"/>
      <c r="F29" s="67"/>
    </row>
    <row r="32" spans="1:19">
      <c r="S32" s="166"/>
    </row>
    <row r="33" spans="1:19">
      <c r="S33" s="166"/>
    </row>
    <row r="34" spans="1:19" ht="15">
      <c r="A34" s="755" t="s">
        <v>690</v>
      </c>
      <c r="S34" s="166"/>
    </row>
    <row r="35" spans="1:19">
      <c r="C35" s="159"/>
      <c r="D35" s="159"/>
      <c r="E35" s="159"/>
      <c r="F35" s="159"/>
      <c r="G35" s="159"/>
      <c r="H35" s="159"/>
      <c r="L35" s="56" t="s">
        <v>791</v>
      </c>
      <c r="M35" s="159" t="s">
        <v>790</v>
      </c>
      <c r="N35" s="159" t="s">
        <v>116</v>
      </c>
      <c r="S35" s="166"/>
    </row>
    <row r="36" spans="1:19" ht="12">
      <c r="A36" s="289" t="s">
        <v>1097</v>
      </c>
      <c r="C36" s="159"/>
      <c r="D36" s="159"/>
      <c r="E36" s="159"/>
      <c r="F36" s="159"/>
      <c r="G36" s="159"/>
      <c r="H36" s="159"/>
      <c r="K36" s="162" t="s">
        <v>833</v>
      </c>
      <c r="L36" s="56">
        <v>6</v>
      </c>
      <c r="M36" s="159">
        <v>2</v>
      </c>
      <c r="N36" s="1062">
        <f>(L36+M36)/103</f>
        <v>7.7669902912621352E-2</v>
      </c>
      <c r="S36" s="166"/>
    </row>
    <row r="37" spans="1:19">
      <c r="C37" s="159"/>
      <c r="D37" s="159"/>
      <c r="E37" s="159"/>
      <c r="F37" s="159"/>
      <c r="G37" s="159"/>
      <c r="H37" s="159"/>
      <c r="K37" s="56" t="s">
        <v>834</v>
      </c>
      <c r="L37" s="56">
        <v>5</v>
      </c>
      <c r="M37" s="159"/>
      <c r="N37" s="1062">
        <f>(L37+M37)/89</f>
        <v>5.6179775280898875E-2</v>
      </c>
    </row>
    <row r="38" spans="1:19" ht="12" thickBot="1">
      <c r="C38" s="159"/>
      <c r="D38" s="159"/>
      <c r="E38" s="159"/>
      <c r="F38" s="159"/>
      <c r="G38" s="159"/>
      <c r="H38" s="159"/>
      <c r="M38" s="159"/>
      <c r="N38" s="159"/>
    </row>
    <row r="39" spans="1:19" ht="27.6" customHeight="1" thickBot="1">
      <c r="B39" s="1324" t="s">
        <v>1094</v>
      </c>
      <c r="C39" s="1324" t="s">
        <v>1095</v>
      </c>
      <c r="D39" s="884" t="s">
        <v>781</v>
      </c>
      <c r="F39" s="159"/>
      <c r="G39" s="159"/>
      <c r="L39" s="159"/>
      <c r="M39" s="159"/>
    </row>
    <row r="40" spans="1:19">
      <c r="B40" s="159"/>
      <c r="C40" s="159"/>
      <c r="D40" s="159"/>
      <c r="E40" s="159"/>
      <c r="F40" s="159"/>
      <c r="G40" s="159"/>
      <c r="H40" s="159"/>
      <c r="K40" s="159"/>
      <c r="L40" s="159"/>
      <c r="M40" s="159"/>
      <c r="N40" s="159"/>
    </row>
    <row r="41" spans="1:19">
      <c r="A41" s="159"/>
      <c r="B41" s="159"/>
      <c r="C41" s="159"/>
      <c r="D41" s="159"/>
      <c r="E41" s="159"/>
      <c r="F41" s="159"/>
      <c r="G41" s="159"/>
      <c r="H41" s="159"/>
      <c r="I41" s="159"/>
      <c r="J41" s="159"/>
      <c r="K41" s="159"/>
      <c r="L41" s="159"/>
      <c r="M41" s="159"/>
      <c r="N41" s="159"/>
    </row>
    <row r="43" spans="1:19" ht="18.75">
      <c r="A43" s="230" t="s">
        <v>750</v>
      </c>
    </row>
    <row r="44" spans="1:19">
      <c r="A44" s="26" t="s">
        <v>1091</v>
      </c>
    </row>
    <row r="45" spans="1:19" ht="11.25" customHeight="1">
      <c r="A45" s="230"/>
      <c r="D45" s="169"/>
      <c r="F45" s="169"/>
      <c r="G45" s="169"/>
      <c r="H45" s="169"/>
    </row>
    <row r="46" spans="1:19" ht="11.25" customHeight="1">
      <c r="A46" s="230"/>
      <c r="D46" s="169"/>
      <c r="F46" s="169"/>
      <c r="G46" s="169"/>
      <c r="H46" s="169"/>
    </row>
    <row r="47" spans="1:19" ht="11.25" customHeight="1">
      <c r="A47" s="230"/>
      <c r="D47" s="169"/>
      <c r="F47" s="169"/>
      <c r="G47" s="169"/>
      <c r="H47" s="169"/>
    </row>
    <row r="48" spans="1:19" ht="11.25" customHeight="1">
      <c r="A48" s="230"/>
      <c r="D48" s="169"/>
      <c r="F48" s="169"/>
      <c r="G48" s="169"/>
      <c r="H48" s="169"/>
    </row>
    <row r="49" spans="1:10" ht="11.25" customHeight="1">
      <c r="A49" s="230"/>
      <c r="D49" s="169"/>
      <c r="F49" s="169"/>
      <c r="G49" s="169"/>
      <c r="H49" s="169"/>
    </row>
    <row r="50" spans="1:10">
      <c r="A50" s="159"/>
    </row>
    <row r="53" spans="1:10" ht="12" thickBot="1"/>
    <row r="54" spans="1:10" ht="23.25" thickBot="1">
      <c r="B54" s="1094" t="s">
        <v>89</v>
      </c>
      <c r="C54" s="1094" t="s">
        <v>88</v>
      </c>
      <c r="D54" s="1094" t="s">
        <v>844</v>
      </c>
      <c r="E54" s="1094" t="s">
        <v>89</v>
      </c>
      <c r="F54" s="1094" t="s">
        <v>88</v>
      </c>
      <c r="G54" s="1094" t="s">
        <v>891</v>
      </c>
      <c r="H54" s="1094" t="s">
        <v>89</v>
      </c>
      <c r="I54" s="1094" t="s">
        <v>88</v>
      </c>
      <c r="J54" s="1094" t="s">
        <v>1077</v>
      </c>
    </row>
    <row r="55" spans="1:10" ht="12" thickBot="1">
      <c r="A55" s="344" t="s">
        <v>83</v>
      </c>
      <c r="B55" s="344">
        <v>12</v>
      </c>
      <c r="C55" s="344">
        <v>6</v>
      </c>
      <c r="D55" s="344">
        <f>SUM(B55:C55)</f>
        <v>18</v>
      </c>
      <c r="E55" s="344">
        <v>29</v>
      </c>
      <c r="F55" s="344">
        <v>21</v>
      </c>
      <c r="G55" s="344">
        <f>SUM(E55:F55)</f>
        <v>50</v>
      </c>
      <c r="H55" s="1336">
        <v>64</v>
      </c>
      <c r="I55" s="1336">
        <v>40</v>
      </c>
      <c r="J55" s="344">
        <f>SUM(H55:I55)</f>
        <v>104</v>
      </c>
    </row>
    <row r="56" spans="1:10" ht="12" thickBot="1">
      <c r="A56" s="344" t="s">
        <v>84</v>
      </c>
      <c r="B56" s="344">
        <v>7</v>
      </c>
      <c r="C56" s="344">
        <v>1</v>
      </c>
      <c r="D56" s="344">
        <f t="shared" ref="D56:D57" si="4">SUM(B56:C56)</f>
        <v>8</v>
      </c>
      <c r="E56" s="344">
        <v>50</v>
      </c>
      <c r="F56" s="344">
        <v>6</v>
      </c>
      <c r="G56" s="344">
        <f t="shared" ref="G56:G57" si="5">SUM(E56:F56)</f>
        <v>56</v>
      </c>
      <c r="H56" s="1336">
        <v>88</v>
      </c>
      <c r="I56" s="1336">
        <v>15</v>
      </c>
      <c r="J56" s="344">
        <f t="shared" ref="J56:J57" si="6">SUM(H56:I56)</f>
        <v>103</v>
      </c>
    </row>
    <row r="57" spans="1:10" ht="12" thickBot="1">
      <c r="A57" s="344" t="s">
        <v>85</v>
      </c>
      <c r="B57" s="344">
        <v>7</v>
      </c>
      <c r="C57" s="344">
        <v>2</v>
      </c>
      <c r="D57" s="344">
        <f t="shared" si="4"/>
        <v>9</v>
      </c>
      <c r="E57" s="344">
        <v>35</v>
      </c>
      <c r="F57" s="344">
        <v>4</v>
      </c>
      <c r="G57" s="344">
        <f t="shared" si="5"/>
        <v>39</v>
      </c>
      <c r="H57" s="1336">
        <v>87</v>
      </c>
      <c r="I57" s="1336">
        <v>6</v>
      </c>
      <c r="J57" s="344">
        <f t="shared" si="6"/>
        <v>93</v>
      </c>
    </row>
    <row r="58" spans="1:10" ht="12" thickBot="1">
      <c r="A58" s="424" t="s">
        <v>47</v>
      </c>
      <c r="B58" s="424">
        <f t="shared" ref="B58:J58" si="7">SUBTOTAL(9,B55:B57)</f>
        <v>26</v>
      </c>
      <c r="C58" s="424">
        <f t="shared" si="7"/>
        <v>9</v>
      </c>
      <c r="D58" s="424">
        <f t="shared" si="7"/>
        <v>35</v>
      </c>
      <c r="E58" s="424">
        <f t="shared" si="7"/>
        <v>114</v>
      </c>
      <c r="F58" s="424">
        <f t="shared" si="7"/>
        <v>31</v>
      </c>
      <c r="G58" s="424">
        <f t="shared" si="7"/>
        <v>145</v>
      </c>
      <c r="H58" s="424">
        <f t="shared" si="7"/>
        <v>239</v>
      </c>
      <c r="I58" s="424">
        <f t="shared" si="7"/>
        <v>61</v>
      </c>
      <c r="J58" s="424">
        <f t="shared" si="7"/>
        <v>300</v>
      </c>
    </row>
    <row r="62" spans="1:10">
      <c r="B62" s="57"/>
      <c r="C62"/>
      <c r="D62"/>
    </row>
    <row r="65" spans="1:16">
      <c r="K65" s="268"/>
      <c r="L65" s="268"/>
      <c r="M65" s="431"/>
      <c r="N65" s="431"/>
      <c r="P65" s="269"/>
    </row>
    <row r="66" spans="1:16">
      <c r="B66" s="57"/>
      <c r="C66" s="57"/>
      <c r="D66" s="57"/>
      <c r="I66" s="269"/>
      <c r="J66" s="269"/>
      <c r="K66" s="268"/>
      <c r="L66" s="268"/>
      <c r="M66" s="431"/>
      <c r="N66" s="254"/>
      <c r="P66" s="269"/>
    </row>
    <row r="67" spans="1:16">
      <c r="B67" s="57"/>
      <c r="C67" s="57"/>
      <c r="D67" s="57"/>
      <c r="I67" s="269"/>
      <c r="J67" s="269"/>
      <c r="K67" s="268"/>
      <c r="L67" s="268"/>
      <c r="M67" s="431"/>
      <c r="N67" s="254"/>
      <c r="P67" s="269"/>
    </row>
    <row r="68" spans="1:16">
      <c r="B68" s="57"/>
      <c r="C68" s="57"/>
      <c r="D68" s="57"/>
      <c r="I68" s="269"/>
      <c r="J68" s="269"/>
      <c r="K68" s="268"/>
      <c r="L68" s="268"/>
      <c r="M68" s="431"/>
      <c r="N68" s="254"/>
      <c r="P68" s="269"/>
    </row>
    <row r="69" spans="1:16">
      <c r="I69" s="268"/>
      <c r="J69" s="269"/>
      <c r="K69" s="268"/>
      <c r="L69" s="268"/>
      <c r="M69" s="431"/>
      <c r="N69" s="254"/>
      <c r="P69" s="269"/>
    </row>
    <row r="70" spans="1:16">
      <c r="P70" s="136"/>
    </row>
    <row r="71" spans="1:16" ht="12.75">
      <c r="K71" s="176"/>
    </row>
    <row r="72" spans="1:16" ht="12.75">
      <c r="K72" s="176"/>
    </row>
    <row r="76" spans="1:16">
      <c r="B76" s="57"/>
      <c r="C76" s="57"/>
      <c r="D76" s="57"/>
    </row>
    <row r="77" spans="1:16">
      <c r="B77" s="57"/>
      <c r="C77" s="57"/>
      <c r="D77" s="57"/>
    </row>
    <row r="78" spans="1:16" ht="12">
      <c r="A78" s="177"/>
      <c r="B78" s="57"/>
      <c r="C78" s="57"/>
      <c r="D78" s="57"/>
    </row>
    <row r="79" spans="1:16" ht="12">
      <c r="A79" s="177"/>
    </row>
    <row r="80" spans="1:16" ht="12">
      <c r="A80" s="177"/>
    </row>
    <row r="81" spans="1:5" ht="12">
      <c r="B81" s="177"/>
      <c r="C81" s="177"/>
      <c r="D81" s="177"/>
      <c r="E81" s="177"/>
    </row>
    <row r="82" spans="1:5" ht="12">
      <c r="C82" s="177"/>
      <c r="D82" s="177"/>
      <c r="E82" s="177"/>
    </row>
    <row r="91" spans="1:5" ht="11.25" customHeight="1">
      <c r="A91" s="191"/>
    </row>
    <row r="92" spans="1:5" ht="11.25" customHeight="1">
      <c r="A92" s="191"/>
    </row>
    <row r="93" spans="1:5" ht="11.25" customHeight="1">
      <c r="A93" s="191"/>
    </row>
    <row r="94" spans="1:5" ht="11.25" customHeight="1">
      <c r="A94" s="191"/>
    </row>
    <row r="95" spans="1:5" ht="11.25" customHeight="1">
      <c r="A95" s="191"/>
    </row>
    <row r="96" spans="1:5" ht="11.25" customHeight="1">
      <c r="A96" s="191"/>
    </row>
    <row r="97" spans="1:1" ht="11.25" customHeight="1">
      <c r="A97" s="191"/>
    </row>
    <row r="98" spans="1:1" ht="11.25" customHeight="1">
      <c r="A98" s="191"/>
    </row>
    <row r="99" spans="1:1" ht="11.25" customHeight="1">
      <c r="A99" s="191"/>
    </row>
    <row r="100" spans="1:1" ht="11.25" customHeight="1">
      <c r="A100" s="191"/>
    </row>
    <row r="101" spans="1:1" ht="11.25" customHeight="1">
      <c r="A101" s="191"/>
    </row>
    <row r="102" spans="1:1" ht="11.25" customHeight="1">
      <c r="A102" s="191"/>
    </row>
    <row r="103" spans="1:1" ht="11.25" customHeight="1">
      <c r="A103" s="191"/>
    </row>
    <row r="104" spans="1:1" ht="11.25" customHeight="1">
      <c r="A104" s="191"/>
    </row>
    <row r="105" spans="1:1" ht="11.25" customHeight="1">
      <c r="A105" s="191"/>
    </row>
    <row r="106" spans="1:1" ht="11.25" customHeight="1">
      <c r="A106" s="191"/>
    </row>
    <row r="107" spans="1:1" ht="11.25" customHeight="1">
      <c r="A107" s="191"/>
    </row>
    <row r="108" spans="1:1" ht="11.25" customHeight="1">
      <c r="A108" s="191"/>
    </row>
    <row r="109" spans="1:1" ht="11.25" customHeight="1">
      <c r="A109" s="191"/>
    </row>
    <row r="110" spans="1:1" ht="11.25" customHeight="1">
      <c r="A110" s="191"/>
    </row>
    <row r="111" spans="1:1" ht="11.25" customHeight="1">
      <c r="A111" s="191"/>
    </row>
    <row r="112" spans="1:1" ht="11.25" customHeight="1">
      <c r="A112" s="191"/>
    </row>
    <row r="113" spans="1:10" ht="11.25" customHeight="1"/>
    <row r="114" spans="1:10" ht="11.25" customHeight="1"/>
    <row r="120" spans="1:10" ht="12.75">
      <c r="A120" s="175"/>
      <c r="B120" s="58"/>
      <c r="C120" s="58"/>
      <c r="D120" s="58"/>
      <c r="E120" s="58"/>
      <c r="F120" s="58"/>
      <c r="G120" s="58"/>
      <c r="H120" s="58"/>
      <c r="I120" s="58"/>
      <c r="J120" s="58"/>
    </row>
    <row r="121" spans="1:10" ht="12.75">
      <c r="A121" s="175"/>
      <c r="B121" s="69"/>
      <c r="C121" s="58"/>
      <c r="D121" s="58"/>
      <c r="E121" s="58"/>
      <c r="F121" s="58"/>
      <c r="G121" s="58"/>
      <c r="H121" s="58"/>
      <c r="I121" s="58"/>
      <c r="J121" s="193"/>
    </row>
    <row r="122" spans="1:10" ht="12.75">
      <c r="A122" s="175"/>
      <c r="B122" s="69"/>
      <c r="C122" s="58"/>
      <c r="D122" s="58"/>
      <c r="E122" s="58"/>
      <c r="F122" s="58"/>
      <c r="G122" s="58"/>
      <c r="H122" s="58"/>
      <c r="I122" s="58"/>
      <c r="J122" s="193"/>
    </row>
    <row r="123" spans="1:10" ht="12.75">
      <c r="A123" s="175"/>
      <c r="B123" s="69"/>
      <c r="C123" s="58"/>
      <c r="D123" s="58"/>
      <c r="E123" s="58"/>
      <c r="F123" s="58"/>
      <c r="G123" s="58"/>
      <c r="H123" s="58"/>
      <c r="I123" s="58"/>
      <c r="J123" s="193"/>
    </row>
    <row r="124" spans="1:10" ht="12.75">
      <c r="A124" s="175"/>
      <c r="B124" s="69"/>
      <c r="C124" s="58"/>
      <c r="D124" s="58"/>
      <c r="E124" s="58"/>
      <c r="F124" s="58"/>
      <c r="G124" s="58"/>
      <c r="H124" s="58"/>
      <c r="I124" s="58"/>
      <c r="J124" s="193"/>
    </row>
    <row r="125" spans="1:10" ht="12.75">
      <c r="A125" s="175"/>
      <c r="B125" s="58"/>
      <c r="C125" s="58"/>
      <c r="D125" s="58"/>
      <c r="E125" s="58"/>
      <c r="F125" s="58"/>
      <c r="G125" s="58"/>
      <c r="H125" s="58"/>
      <c r="I125" s="58"/>
      <c r="J125" s="193"/>
    </row>
    <row r="126" spans="1:10" ht="12.75">
      <c r="A126" s="175"/>
    </row>
    <row r="127" spans="1:10" ht="12.75">
      <c r="A127" s="175"/>
    </row>
    <row r="128" spans="1:10" ht="12.75">
      <c r="A128" s="175"/>
    </row>
    <row r="129" spans="1:1" ht="12.75">
      <c r="A129" s="175"/>
    </row>
    <row r="130" spans="1:1" ht="12.75">
      <c r="A130" s="175"/>
    </row>
    <row r="135" spans="1:1" ht="12.75">
      <c r="A135" s="175"/>
    </row>
    <row r="142" spans="1:1" ht="15.75">
      <c r="A142" s="155"/>
    </row>
    <row r="180" spans="1:2" ht="21">
      <c r="A180" s="174"/>
    </row>
    <row r="182" spans="1:2" ht="15.75">
      <c r="A182" s="155"/>
    </row>
    <row r="185" spans="1:2">
      <c r="B185" s="166"/>
    </row>
    <row r="186" spans="1:2">
      <c r="B186" s="166"/>
    </row>
    <row r="190" spans="1:2" ht="15.75">
      <c r="A190" s="155"/>
    </row>
    <row r="196" spans="2:5">
      <c r="B196"/>
      <c r="C196"/>
      <c r="D196"/>
      <c r="E196"/>
    </row>
    <row r="197" spans="2:5">
      <c r="B197"/>
      <c r="C197"/>
      <c r="D197"/>
      <c r="E197"/>
    </row>
    <row r="198" spans="2:5">
      <c r="B198"/>
      <c r="C198"/>
      <c r="D198"/>
      <c r="E198"/>
    </row>
    <row r="199" spans="2:5">
      <c r="B199" s="178"/>
      <c r="C199" s="178"/>
      <c r="D199" s="178"/>
      <c r="E199"/>
    </row>
    <row r="200" spans="2:5">
      <c r="B200" s="178"/>
      <c r="C200" s="178"/>
      <c r="D200" s="178"/>
      <c r="E200"/>
    </row>
  </sheetData>
  <pageMargins left="0.11811023622047245" right="0.11811023622047245" top="0.35433070866141736" bottom="0.35433070866141736" header="0.31496062992125984" footer="0.31496062992125984"/>
  <pageSetup paperSize="9" orientation="landscape" r:id="rId1"/>
  <rowBreaks count="1" manualBreakCount="1">
    <brk id="42"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28"/>
  <sheetViews>
    <sheetView showGridLines="0" zoomScale="90" zoomScaleNormal="100" zoomScaleSheetLayoutView="100" workbookViewId="0">
      <selection activeCell="O9" sqref="O9"/>
    </sheetView>
  </sheetViews>
  <sheetFormatPr baseColWidth="10" defaultColWidth="12" defaultRowHeight="11.25"/>
  <cols>
    <col min="1" max="1" width="23.33203125" style="56" customWidth="1"/>
    <col min="2" max="2" width="24.5" style="56" customWidth="1"/>
    <col min="3" max="3" width="16.6640625" style="56" customWidth="1"/>
    <col min="4" max="4" width="17.6640625" style="56" customWidth="1"/>
    <col min="5" max="5" width="16.6640625" style="56" customWidth="1"/>
    <col min="6" max="6" width="17.6640625" style="56" customWidth="1"/>
    <col min="7" max="7" width="16.6640625" style="56" customWidth="1"/>
    <col min="8" max="8" width="17.6640625" style="56" customWidth="1"/>
    <col min="9" max="12" width="13" style="56" customWidth="1"/>
    <col min="13" max="13" width="9" style="56" customWidth="1"/>
    <col min="14" max="256" width="12" style="56"/>
    <col min="257" max="257" width="23.33203125" style="56" customWidth="1"/>
    <col min="258" max="258" width="24.5" style="56" customWidth="1"/>
    <col min="259" max="259" width="16.6640625" style="56" customWidth="1"/>
    <col min="260" max="260" width="17.6640625" style="56" customWidth="1"/>
    <col min="261" max="261" width="16.6640625" style="56" customWidth="1"/>
    <col min="262" max="262" width="17.6640625" style="56" customWidth="1"/>
    <col min="263" max="263" width="11.33203125" style="56" customWidth="1"/>
    <col min="264" max="268" width="13" style="56" customWidth="1"/>
    <col min="269" max="269" width="9" style="56" customWidth="1"/>
    <col min="270" max="512" width="12" style="56"/>
    <col min="513" max="513" width="23.33203125" style="56" customWidth="1"/>
    <col min="514" max="514" width="24.5" style="56" customWidth="1"/>
    <col min="515" max="515" width="16.6640625" style="56" customWidth="1"/>
    <col min="516" max="516" width="17.6640625" style="56" customWidth="1"/>
    <col min="517" max="517" width="16.6640625" style="56" customWidth="1"/>
    <col min="518" max="518" width="17.6640625" style="56" customWidth="1"/>
    <col min="519" max="519" width="11.33203125" style="56" customWidth="1"/>
    <col min="520" max="524" width="13" style="56" customWidth="1"/>
    <col min="525" max="525" width="9" style="56" customWidth="1"/>
    <col min="526" max="768" width="12" style="56"/>
    <col min="769" max="769" width="23.33203125" style="56" customWidth="1"/>
    <col min="770" max="770" width="24.5" style="56" customWidth="1"/>
    <col min="771" max="771" width="16.6640625" style="56" customWidth="1"/>
    <col min="772" max="772" width="17.6640625" style="56" customWidth="1"/>
    <col min="773" max="773" width="16.6640625" style="56" customWidth="1"/>
    <col min="774" max="774" width="17.6640625" style="56" customWidth="1"/>
    <col min="775" max="775" width="11.33203125" style="56" customWidth="1"/>
    <col min="776" max="780" width="13" style="56" customWidth="1"/>
    <col min="781" max="781" width="9" style="56" customWidth="1"/>
    <col min="782" max="1024" width="12" style="56"/>
    <col min="1025" max="1025" width="23.33203125" style="56" customWidth="1"/>
    <col min="1026" max="1026" width="24.5" style="56" customWidth="1"/>
    <col min="1027" max="1027" width="16.6640625" style="56" customWidth="1"/>
    <col min="1028" max="1028" width="17.6640625" style="56" customWidth="1"/>
    <col min="1029" max="1029" width="16.6640625" style="56" customWidth="1"/>
    <col min="1030" max="1030" width="17.6640625" style="56" customWidth="1"/>
    <col min="1031" max="1031" width="11.33203125" style="56" customWidth="1"/>
    <col min="1032" max="1036" width="13" style="56" customWidth="1"/>
    <col min="1037" max="1037" width="9" style="56" customWidth="1"/>
    <col min="1038" max="1280" width="12" style="56"/>
    <col min="1281" max="1281" width="23.33203125" style="56" customWidth="1"/>
    <col min="1282" max="1282" width="24.5" style="56" customWidth="1"/>
    <col min="1283" max="1283" width="16.6640625" style="56" customWidth="1"/>
    <col min="1284" max="1284" width="17.6640625" style="56" customWidth="1"/>
    <col min="1285" max="1285" width="16.6640625" style="56" customWidth="1"/>
    <col min="1286" max="1286" width="17.6640625" style="56" customWidth="1"/>
    <col min="1287" max="1287" width="11.33203125" style="56" customWidth="1"/>
    <col min="1288" max="1292" width="13" style="56" customWidth="1"/>
    <col min="1293" max="1293" width="9" style="56" customWidth="1"/>
    <col min="1294" max="1536" width="12" style="56"/>
    <col min="1537" max="1537" width="23.33203125" style="56" customWidth="1"/>
    <col min="1538" max="1538" width="24.5" style="56" customWidth="1"/>
    <col min="1539" max="1539" width="16.6640625" style="56" customWidth="1"/>
    <col min="1540" max="1540" width="17.6640625" style="56" customWidth="1"/>
    <col min="1541" max="1541" width="16.6640625" style="56" customWidth="1"/>
    <col min="1542" max="1542" width="17.6640625" style="56" customWidth="1"/>
    <col min="1543" max="1543" width="11.33203125" style="56" customWidth="1"/>
    <col min="1544" max="1548" width="13" style="56" customWidth="1"/>
    <col min="1549" max="1549" width="9" style="56" customWidth="1"/>
    <col min="1550" max="1792" width="12" style="56"/>
    <col min="1793" max="1793" width="23.33203125" style="56" customWidth="1"/>
    <col min="1794" max="1794" width="24.5" style="56" customWidth="1"/>
    <col min="1795" max="1795" width="16.6640625" style="56" customWidth="1"/>
    <col min="1796" max="1796" width="17.6640625" style="56" customWidth="1"/>
    <col min="1797" max="1797" width="16.6640625" style="56" customWidth="1"/>
    <col min="1798" max="1798" width="17.6640625" style="56" customWidth="1"/>
    <col min="1799" max="1799" width="11.33203125" style="56" customWidth="1"/>
    <col min="1800" max="1804" width="13" style="56" customWidth="1"/>
    <col min="1805" max="1805" width="9" style="56" customWidth="1"/>
    <col min="1806" max="2048" width="12" style="56"/>
    <col min="2049" max="2049" width="23.33203125" style="56" customWidth="1"/>
    <col min="2050" max="2050" width="24.5" style="56" customWidth="1"/>
    <col min="2051" max="2051" width="16.6640625" style="56" customWidth="1"/>
    <col min="2052" max="2052" width="17.6640625" style="56" customWidth="1"/>
    <col min="2053" max="2053" width="16.6640625" style="56" customWidth="1"/>
    <col min="2054" max="2054" width="17.6640625" style="56" customWidth="1"/>
    <col min="2055" max="2055" width="11.33203125" style="56" customWidth="1"/>
    <col min="2056" max="2060" width="13" style="56" customWidth="1"/>
    <col min="2061" max="2061" width="9" style="56" customWidth="1"/>
    <col min="2062" max="2304" width="12" style="56"/>
    <col min="2305" max="2305" width="23.33203125" style="56" customWidth="1"/>
    <col min="2306" max="2306" width="24.5" style="56" customWidth="1"/>
    <col min="2307" max="2307" width="16.6640625" style="56" customWidth="1"/>
    <col min="2308" max="2308" width="17.6640625" style="56" customWidth="1"/>
    <col min="2309" max="2309" width="16.6640625" style="56" customWidth="1"/>
    <col min="2310" max="2310" width="17.6640625" style="56" customWidth="1"/>
    <col min="2311" max="2311" width="11.33203125" style="56" customWidth="1"/>
    <col min="2312" max="2316" width="13" style="56" customWidth="1"/>
    <col min="2317" max="2317" width="9" style="56" customWidth="1"/>
    <col min="2318" max="2560" width="12" style="56"/>
    <col min="2561" max="2561" width="23.33203125" style="56" customWidth="1"/>
    <col min="2562" max="2562" width="24.5" style="56" customWidth="1"/>
    <col min="2563" max="2563" width="16.6640625" style="56" customWidth="1"/>
    <col min="2564" max="2564" width="17.6640625" style="56" customWidth="1"/>
    <col min="2565" max="2565" width="16.6640625" style="56" customWidth="1"/>
    <col min="2566" max="2566" width="17.6640625" style="56" customWidth="1"/>
    <col min="2567" max="2567" width="11.33203125" style="56" customWidth="1"/>
    <col min="2568" max="2572" width="13" style="56" customWidth="1"/>
    <col min="2573" max="2573" width="9" style="56" customWidth="1"/>
    <col min="2574" max="2816" width="12" style="56"/>
    <col min="2817" max="2817" width="23.33203125" style="56" customWidth="1"/>
    <col min="2818" max="2818" width="24.5" style="56" customWidth="1"/>
    <col min="2819" max="2819" width="16.6640625" style="56" customWidth="1"/>
    <col min="2820" max="2820" width="17.6640625" style="56" customWidth="1"/>
    <col min="2821" max="2821" width="16.6640625" style="56" customWidth="1"/>
    <col min="2822" max="2822" width="17.6640625" style="56" customWidth="1"/>
    <col min="2823" max="2823" width="11.33203125" style="56" customWidth="1"/>
    <col min="2824" max="2828" width="13" style="56" customWidth="1"/>
    <col min="2829" max="2829" width="9" style="56" customWidth="1"/>
    <col min="2830" max="3072" width="12" style="56"/>
    <col min="3073" max="3073" width="23.33203125" style="56" customWidth="1"/>
    <col min="3074" max="3074" width="24.5" style="56" customWidth="1"/>
    <col min="3075" max="3075" width="16.6640625" style="56" customWidth="1"/>
    <col min="3076" max="3076" width="17.6640625" style="56" customWidth="1"/>
    <col min="3077" max="3077" width="16.6640625" style="56" customWidth="1"/>
    <col min="3078" max="3078" width="17.6640625" style="56" customWidth="1"/>
    <col min="3079" max="3079" width="11.33203125" style="56" customWidth="1"/>
    <col min="3080" max="3084" width="13" style="56" customWidth="1"/>
    <col min="3085" max="3085" width="9" style="56" customWidth="1"/>
    <col min="3086" max="3328" width="12" style="56"/>
    <col min="3329" max="3329" width="23.33203125" style="56" customWidth="1"/>
    <col min="3330" max="3330" width="24.5" style="56" customWidth="1"/>
    <col min="3331" max="3331" width="16.6640625" style="56" customWidth="1"/>
    <col min="3332" max="3332" width="17.6640625" style="56" customWidth="1"/>
    <col min="3333" max="3333" width="16.6640625" style="56" customWidth="1"/>
    <col min="3334" max="3334" width="17.6640625" style="56" customWidth="1"/>
    <col min="3335" max="3335" width="11.33203125" style="56" customWidth="1"/>
    <col min="3336" max="3340" width="13" style="56" customWidth="1"/>
    <col min="3341" max="3341" width="9" style="56" customWidth="1"/>
    <col min="3342" max="3584" width="12" style="56"/>
    <col min="3585" max="3585" width="23.33203125" style="56" customWidth="1"/>
    <col min="3586" max="3586" width="24.5" style="56" customWidth="1"/>
    <col min="3587" max="3587" width="16.6640625" style="56" customWidth="1"/>
    <col min="3588" max="3588" width="17.6640625" style="56" customWidth="1"/>
    <col min="3589" max="3589" width="16.6640625" style="56" customWidth="1"/>
    <col min="3590" max="3590" width="17.6640625" style="56" customWidth="1"/>
    <col min="3591" max="3591" width="11.33203125" style="56" customWidth="1"/>
    <col min="3592" max="3596" width="13" style="56" customWidth="1"/>
    <col min="3597" max="3597" width="9" style="56" customWidth="1"/>
    <col min="3598" max="3840" width="12" style="56"/>
    <col min="3841" max="3841" width="23.33203125" style="56" customWidth="1"/>
    <col min="3842" max="3842" width="24.5" style="56" customWidth="1"/>
    <col min="3843" max="3843" width="16.6640625" style="56" customWidth="1"/>
    <col min="3844" max="3844" width="17.6640625" style="56" customWidth="1"/>
    <col min="3845" max="3845" width="16.6640625" style="56" customWidth="1"/>
    <col min="3846" max="3846" width="17.6640625" style="56" customWidth="1"/>
    <col min="3847" max="3847" width="11.33203125" style="56" customWidth="1"/>
    <col min="3848" max="3852" width="13" style="56" customWidth="1"/>
    <col min="3853" max="3853" width="9" style="56" customWidth="1"/>
    <col min="3854" max="4096" width="12" style="56"/>
    <col min="4097" max="4097" width="23.33203125" style="56" customWidth="1"/>
    <col min="4098" max="4098" width="24.5" style="56" customWidth="1"/>
    <col min="4099" max="4099" width="16.6640625" style="56" customWidth="1"/>
    <col min="4100" max="4100" width="17.6640625" style="56" customWidth="1"/>
    <col min="4101" max="4101" width="16.6640625" style="56" customWidth="1"/>
    <col min="4102" max="4102" width="17.6640625" style="56" customWidth="1"/>
    <col min="4103" max="4103" width="11.33203125" style="56" customWidth="1"/>
    <col min="4104" max="4108" width="13" style="56" customWidth="1"/>
    <col min="4109" max="4109" width="9" style="56" customWidth="1"/>
    <col min="4110" max="4352" width="12" style="56"/>
    <col min="4353" max="4353" width="23.33203125" style="56" customWidth="1"/>
    <col min="4354" max="4354" width="24.5" style="56" customWidth="1"/>
    <col min="4355" max="4355" width="16.6640625" style="56" customWidth="1"/>
    <col min="4356" max="4356" width="17.6640625" style="56" customWidth="1"/>
    <col min="4357" max="4357" width="16.6640625" style="56" customWidth="1"/>
    <col min="4358" max="4358" width="17.6640625" style="56" customWidth="1"/>
    <col min="4359" max="4359" width="11.33203125" style="56" customWidth="1"/>
    <col min="4360" max="4364" width="13" style="56" customWidth="1"/>
    <col min="4365" max="4365" width="9" style="56" customWidth="1"/>
    <col min="4366" max="4608" width="12" style="56"/>
    <col min="4609" max="4609" width="23.33203125" style="56" customWidth="1"/>
    <col min="4610" max="4610" width="24.5" style="56" customWidth="1"/>
    <col min="4611" max="4611" width="16.6640625" style="56" customWidth="1"/>
    <col min="4612" max="4612" width="17.6640625" style="56" customWidth="1"/>
    <col min="4613" max="4613" width="16.6640625" style="56" customWidth="1"/>
    <col min="4614" max="4614" width="17.6640625" style="56" customWidth="1"/>
    <col min="4615" max="4615" width="11.33203125" style="56" customWidth="1"/>
    <col min="4616" max="4620" width="13" style="56" customWidth="1"/>
    <col min="4621" max="4621" width="9" style="56" customWidth="1"/>
    <col min="4622" max="4864" width="12" style="56"/>
    <col min="4865" max="4865" width="23.33203125" style="56" customWidth="1"/>
    <col min="4866" max="4866" width="24.5" style="56" customWidth="1"/>
    <col min="4867" max="4867" width="16.6640625" style="56" customWidth="1"/>
    <col min="4868" max="4868" width="17.6640625" style="56" customWidth="1"/>
    <col min="4869" max="4869" width="16.6640625" style="56" customWidth="1"/>
    <col min="4870" max="4870" width="17.6640625" style="56" customWidth="1"/>
    <col min="4871" max="4871" width="11.33203125" style="56" customWidth="1"/>
    <col min="4872" max="4876" width="13" style="56" customWidth="1"/>
    <col min="4877" max="4877" width="9" style="56" customWidth="1"/>
    <col min="4878" max="5120" width="12" style="56"/>
    <col min="5121" max="5121" width="23.33203125" style="56" customWidth="1"/>
    <col min="5122" max="5122" width="24.5" style="56" customWidth="1"/>
    <col min="5123" max="5123" width="16.6640625" style="56" customWidth="1"/>
    <col min="5124" max="5124" width="17.6640625" style="56" customWidth="1"/>
    <col min="5125" max="5125" width="16.6640625" style="56" customWidth="1"/>
    <col min="5126" max="5126" width="17.6640625" style="56" customWidth="1"/>
    <col min="5127" max="5127" width="11.33203125" style="56" customWidth="1"/>
    <col min="5128" max="5132" width="13" style="56" customWidth="1"/>
    <col min="5133" max="5133" width="9" style="56" customWidth="1"/>
    <col min="5134" max="5376" width="12" style="56"/>
    <col min="5377" max="5377" width="23.33203125" style="56" customWidth="1"/>
    <col min="5378" max="5378" width="24.5" style="56" customWidth="1"/>
    <col min="5379" max="5379" width="16.6640625" style="56" customWidth="1"/>
    <col min="5380" max="5380" width="17.6640625" style="56" customWidth="1"/>
    <col min="5381" max="5381" width="16.6640625" style="56" customWidth="1"/>
    <col min="5382" max="5382" width="17.6640625" style="56" customWidth="1"/>
    <col min="5383" max="5383" width="11.33203125" style="56" customWidth="1"/>
    <col min="5384" max="5388" width="13" style="56" customWidth="1"/>
    <col min="5389" max="5389" width="9" style="56" customWidth="1"/>
    <col min="5390" max="5632" width="12" style="56"/>
    <col min="5633" max="5633" width="23.33203125" style="56" customWidth="1"/>
    <col min="5634" max="5634" width="24.5" style="56" customWidth="1"/>
    <col min="5635" max="5635" width="16.6640625" style="56" customWidth="1"/>
    <col min="5636" max="5636" width="17.6640625" style="56" customWidth="1"/>
    <col min="5637" max="5637" width="16.6640625" style="56" customWidth="1"/>
    <col min="5638" max="5638" width="17.6640625" style="56" customWidth="1"/>
    <col min="5639" max="5639" width="11.33203125" style="56" customWidth="1"/>
    <col min="5640" max="5644" width="13" style="56" customWidth="1"/>
    <col min="5645" max="5645" width="9" style="56" customWidth="1"/>
    <col min="5646" max="5888" width="12" style="56"/>
    <col min="5889" max="5889" width="23.33203125" style="56" customWidth="1"/>
    <col min="5890" max="5890" width="24.5" style="56" customWidth="1"/>
    <col min="5891" max="5891" width="16.6640625" style="56" customWidth="1"/>
    <col min="5892" max="5892" width="17.6640625" style="56" customWidth="1"/>
    <col min="5893" max="5893" width="16.6640625" style="56" customWidth="1"/>
    <col min="5894" max="5894" width="17.6640625" style="56" customWidth="1"/>
    <col min="5895" max="5895" width="11.33203125" style="56" customWidth="1"/>
    <col min="5896" max="5900" width="13" style="56" customWidth="1"/>
    <col min="5901" max="5901" width="9" style="56" customWidth="1"/>
    <col min="5902" max="6144" width="12" style="56"/>
    <col min="6145" max="6145" width="23.33203125" style="56" customWidth="1"/>
    <col min="6146" max="6146" width="24.5" style="56" customWidth="1"/>
    <col min="6147" max="6147" width="16.6640625" style="56" customWidth="1"/>
    <col min="6148" max="6148" width="17.6640625" style="56" customWidth="1"/>
    <col min="6149" max="6149" width="16.6640625" style="56" customWidth="1"/>
    <col min="6150" max="6150" width="17.6640625" style="56" customWidth="1"/>
    <col min="6151" max="6151" width="11.33203125" style="56" customWidth="1"/>
    <col min="6152" max="6156" width="13" style="56" customWidth="1"/>
    <col min="6157" max="6157" width="9" style="56" customWidth="1"/>
    <col min="6158" max="6400" width="12" style="56"/>
    <col min="6401" max="6401" width="23.33203125" style="56" customWidth="1"/>
    <col min="6402" max="6402" width="24.5" style="56" customWidth="1"/>
    <col min="6403" max="6403" width="16.6640625" style="56" customWidth="1"/>
    <col min="6404" max="6404" width="17.6640625" style="56" customWidth="1"/>
    <col min="6405" max="6405" width="16.6640625" style="56" customWidth="1"/>
    <col min="6406" max="6406" width="17.6640625" style="56" customWidth="1"/>
    <col min="6407" max="6407" width="11.33203125" style="56" customWidth="1"/>
    <col min="6408" max="6412" width="13" style="56" customWidth="1"/>
    <col min="6413" max="6413" width="9" style="56" customWidth="1"/>
    <col min="6414" max="6656" width="12" style="56"/>
    <col min="6657" max="6657" width="23.33203125" style="56" customWidth="1"/>
    <col min="6658" max="6658" width="24.5" style="56" customWidth="1"/>
    <col min="6659" max="6659" width="16.6640625" style="56" customWidth="1"/>
    <col min="6660" max="6660" width="17.6640625" style="56" customWidth="1"/>
    <col min="6661" max="6661" width="16.6640625" style="56" customWidth="1"/>
    <col min="6662" max="6662" width="17.6640625" style="56" customWidth="1"/>
    <col min="6663" max="6663" width="11.33203125" style="56" customWidth="1"/>
    <col min="6664" max="6668" width="13" style="56" customWidth="1"/>
    <col min="6669" max="6669" width="9" style="56" customWidth="1"/>
    <col min="6670" max="6912" width="12" style="56"/>
    <col min="6913" max="6913" width="23.33203125" style="56" customWidth="1"/>
    <col min="6914" max="6914" width="24.5" style="56" customWidth="1"/>
    <col min="6915" max="6915" width="16.6640625" style="56" customWidth="1"/>
    <col min="6916" max="6916" width="17.6640625" style="56" customWidth="1"/>
    <col min="6917" max="6917" width="16.6640625" style="56" customWidth="1"/>
    <col min="6918" max="6918" width="17.6640625" style="56" customWidth="1"/>
    <col min="6919" max="6919" width="11.33203125" style="56" customWidth="1"/>
    <col min="6920" max="6924" width="13" style="56" customWidth="1"/>
    <col min="6925" max="6925" width="9" style="56" customWidth="1"/>
    <col min="6926" max="7168" width="12" style="56"/>
    <col min="7169" max="7169" width="23.33203125" style="56" customWidth="1"/>
    <col min="7170" max="7170" width="24.5" style="56" customWidth="1"/>
    <col min="7171" max="7171" width="16.6640625" style="56" customWidth="1"/>
    <col min="7172" max="7172" width="17.6640625" style="56" customWidth="1"/>
    <col min="7173" max="7173" width="16.6640625" style="56" customWidth="1"/>
    <col min="7174" max="7174" width="17.6640625" style="56" customWidth="1"/>
    <col min="7175" max="7175" width="11.33203125" style="56" customWidth="1"/>
    <col min="7176" max="7180" width="13" style="56" customWidth="1"/>
    <col min="7181" max="7181" width="9" style="56" customWidth="1"/>
    <col min="7182" max="7424" width="12" style="56"/>
    <col min="7425" max="7425" width="23.33203125" style="56" customWidth="1"/>
    <col min="7426" max="7426" width="24.5" style="56" customWidth="1"/>
    <col min="7427" max="7427" width="16.6640625" style="56" customWidth="1"/>
    <col min="7428" max="7428" width="17.6640625" style="56" customWidth="1"/>
    <col min="7429" max="7429" width="16.6640625" style="56" customWidth="1"/>
    <col min="7430" max="7430" width="17.6640625" style="56" customWidth="1"/>
    <col min="7431" max="7431" width="11.33203125" style="56" customWidth="1"/>
    <col min="7432" max="7436" width="13" style="56" customWidth="1"/>
    <col min="7437" max="7437" width="9" style="56" customWidth="1"/>
    <col min="7438" max="7680" width="12" style="56"/>
    <col min="7681" max="7681" width="23.33203125" style="56" customWidth="1"/>
    <col min="7682" max="7682" width="24.5" style="56" customWidth="1"/>
    <col min="7683" max="7683" width="16.6640625" style="56" customWidth="1"/>
    <col min="7684" max="7684" width="17.6640625" style="56" customWidth="1"/>
    <col min="7685" max="7685" width="16.6640625" style="56" customWidth="1"/>
    <col min="7686" max="7686" width="17.6640625" style="56" customWidth="1"/>
    <col min="7687" max="7687" width="11.33203125" style="56" customWidth="1"/>
    <col min="7688" max="7692" width="13" style="56" customWidth="1"/>
    <col min="7693" max="7693" width="9" style="56" customWidth="1"/>
    <col min="7694" max="7936" width="12" style="56"/>
    <col min="7937" max="7937" width="23.33203125" style="56" customWidth="1"/>
    <col min="7938" max="7938" width="24.5" style="56" customWidth="1"/>
    <col min="7939" max="7939" width="16.6640625" style="56" customWidth="1"/>
    <col min="7940" max="7940" width="17.6640625" style="56" customWidth="1"/>
    <col min="7941" max="7941" width="16.6640625" style="56" customWidth="1"/>
    <col min="7942" max="7942" width="17.6640625" style="56" customWidth="1"/>
    <col min="7943" max="7943" width="11.33203125" style="56" customWidth="1"/>
    <col min="7944" max="7948" width="13" style="56" customWidth="1"/>
    <col min="7949" max="7949" width="9" style="56" customWidth="1"/>
    <col min="7950" max="8192" width="12" style="56"/>
    <col min="8193" max="8193" width="23.33203125" style="56" customWidth="1"/>
    <col min="8194" max="8194" width="24.5" style="56" customWidth="1"/>
    <col min="8195" max="8195" width="16.6640625" style="56" customWidth="1"/>
    <col min="8196" max="8196" width="17.6640625" style="56" customWidth="1"/>
    <col min="8197" max="8197" width="16.6640625" style="56" customWidth="1"/>
    <col min="8198" max="8198" width="17.6640625" style="56" customWidth="1"/>
    <col min="8199" max="8199" width="11.33203125" style="56" customWidth="1"/>
    <col min="8200" max="8204" width="13" style="56" customWidth="1"/>
    <col min="8205" max="8205" width="9" style="56" customWidth="1"/>
    <col min="8206" max="8448" width="12" style="56"/>
    <col min="8449" max="8449" width="23.33203125" style="56" customWidth="1"/>
    <col min="8450" max="8450" width="24.5" style="56" customWidth="1"/>
    <col min="8451" max="8451" width="16.6640625" style="56" customWidth="1"/>
    <col min="8452" max="8452" width="17.6640625" style="56" customWidth="1"/>
    <col min="8453" max="8453" width="16.6640625" style="56" customWidth="1"/>
    <col min="8454" max="8454" width="17.6640625" style="56" customWidth="1"/>
    <col min="8455" max="8455" width="11.33203125" style="56" customWidth="1"/>
    <col min="8456" max="8460" width="13" style="56" customWidth="1"/>
    <col min="8461" max="8461" width="9" style="56" customWidth="1"/>
    <col min="8462" max="8704" width="12" style="56"/>
    <col min="8705" max="8705" width="23.33203125" style="56" customWidth="1"/>
    <col min="8706" max="8706" width="24.5" style="56" customWidth="1"/>
    <col min="8707" max="8707" width="16.6640625" style="56" customWidth="1"/>
    <col min="8708" max="8708" width="17.6640625" style="56" customWidth="1"/>
    <col min="8709" max="8709" width="16.6640625" style="56" customWidth="1"/>
    <col min="8710" max="8710" width="17.6640625" style="56" customWidth="1"/>
    <col min="8711" max="8711" width="11.33203125" style="56" customWidth="1"/>
    <col min="8712" max="8716" width="13" style="56" customWidth="1"/>
    <col min="8717" max="8717" width="9" style="56" customWidth="1"/>
    <col min="8718" max="8960" width="12" style="56"/>
    <col min="8961" max="8961" width="23.33203125" style="56" customWidth="1"/>
    <col min="8962" max="8962" width="24.5" style="56" customWidth="1"/>
    <col min="8963" max="8963" width="16.6640625" style="56" customWidth="1"/>
    <col min="8964" max="8964" width="17.6640625" style="56" customWidth="1"/>
    <col min="8965" max="8965" width="16.6640625" style="56" customWidth="1"/>
    <col min="8966" max="8966" width="17.6640625" style="56" customWidth="1"/>
    <col min="8967" max="8967" width="11.33203125" style="56" customWidth="1"/>
    <col min="8968" max="8972" width="13" style="56" customWidth="1"/>
    <col min="8973" max="8973" width="9" style="56" customWidth="1"/>
    <col min="8974" max="9216" width="12" style="56"/>
    <col min="9217" max="9217" width="23.33203125" style="56" customWidth="1"/>
    <col min="9218" max="9218" width="24.5" style="56" customWidth="1"/>
    <col min="9219" max="9219" width="16.6640625" style="56" customWidth="1"/>
    <col min="9220" max="9220" width="17.6640625" style="56" customWidth="1"/>
    <col min="9221" max="9221" width="16.6640625" style="56" customWidth="1"/>
    <col min="9222" max="9222" width="17.6640625" style="56" customWidth="1"/>
    <col min="9223" max="9223" width="11.33203125" style="56" customWidth="1"/>
    <col min="9224" max="9228" width="13" style="56" customWidth="1"/>
    <col min="9229" max="9229" width="9" style="56" customWidth="1"/>
    <col min="9230" max="9472" width="12" style="56"/>
    <col min="9473" max="9473" width="23.33203125" style="56" customWidth="1"/>
    <col min="9474" max="9474" width="24.5" style="56" customWidth="1"/>
    <col min="9475" max="9475" width="16.6640625" style="56" customWidth="1"/>
    <col min="9476" max="9476" width="17.6640625" style="56" customWidth="1"/>
    <col min="9477" max="9477" width="16.6640625" style="56" customWidth="1"/>
    <col min="9478" max="9478" width="17.6640625" style="56" customWidth="1"/>
    <col min="9479" max="9479" width="11.33203125" style="56" customWidth="1"/>
    <col min="9480" max="9484" width="13" style="56" customWidth="1"/>
    <col min="9485" max="9485" width="9" style="56" customWidth="1"/>
    <col min="9486" max="9728" width="12" style="56"/>
    <col min="9729" max="9729" width="23.33203125" style="56" customWidth="1"/>
    <col min="9730" max="9730" width="24.5" style="56" customWidth="1"/>
    <col min="9731" max="9731" width="16.6640625" style="56" customWidth="1"/>
    <col min="9732" max="9732" width="17.6640625" style="56" customWidth="1"/>
    <col min="9733" max="9733" width="16.6640625" style="56" customWidth="1"/>
    <col min="9734" max="9734" width="17.6640625" style="56" customWidth="1"/>
    <col min="9735" max="9735" width="11.33203125" style="56" customWidth="1"/>
    <col min="9736" max="9740" width="13" style="56" customWidth="1"/>
    <col min="9741" max="9741" width="9" style="56" customWidth="1"/>
    <col min="9742" max="9984" width="12" style="56"/>
    <col min="9985" max="9985" width="23.33203125" style="56" customWidth="1"/>
    <col min="9986" max="9986" width="24.5" style="56" customWidth="1"/>
    <col min="9987" max="9987" width="16.6640625" style="56" customWidth="1"/>
    <col min="9988" max="9988" width="17.6640625" style="56" customWidth="1"/>
    <col min="9989" max="9989" width="16.6640625" style="56" customWidth="1"/>
    <col min="9990" max="9990" width="17.6640625" style="56" customWidth="1"/>
    <col min="9991" max="9991" width="11.33203125" style="56" customWidth="1"/>
    <col min="9992" max="9996" width="13" style="56" customWidth="1"/>
    <col min="9997" max="9997" width="9" style="56" customWidth="1"/>
    <col min="9998" max="10240" width="12" style="56"/>
    <col min="10241" max="10241" width="23.33203125" style="56" customWidth="1"/>
    <col min="10242" max="10242" width="24.5" style="56" customWidth="1"/>
    <col min="10243" max="10243" width="16.6640625" style="56" customWidth="1"/>
    <col min="10244" max="10244" width="17.6640625" style="56" customWidth="1"/>
    <col min="10245" max="10245" width="16.6640625" style="56" customWidth="1"/>
    <col min="10246" max="10246" width="17.6640625" style="56" customWidth="1"/>
    <col min="10247" max="10247" width="11.33203125" style="56" customWidth="1"/>
    <col min="10248" max="10252" width="13" style="56" customWidth="1"/>
    <col min="10253" max="10253" width="9" style="56" customWidth="1"/>
    <col min="10254" max="10496" width="12" style="56"/>
    <col min="10497" max="10497" width="23.33203125" style="56" customWidth="1"/>
    <col min="10498" max="10498" width="24.5" style="56" customWidth="1"/>
    <col min="10499" max="10499" width="16.6640625" style="56" customWidth="1"/>
    <col min="10500" max="10500" width="17.6640625" style="56" customWidth="1"/>
    <col min="10501" max="10501" width="16.6640625" style="56" customWidth="1"/>
    <col min="10502" max="10502" width="17.6640625" style="56" customWidth="1"/>
    <col min="10503" max="10503" width="11.33203125" style="56" customWidth="1"/>
    <col min="10504" max="10508" width="13" style="56" customWidth="1"/>
    <col min="10509" max="10509" width="9" style="56" customWidth="1"/>
    <col min="10510" max="10752" width="12" style="56"/>
    <col min="10753" max="10753" width="23.33203125" style="56" customWidth="1"/>
    <col min="10754" max="10754" width="24.5" style="56" customWidth="1"/>
    <col min="10755" max="10755" width="16.6640625" style="56" customWidth="1"/>
    <col min="10756" max="10756" width="17.6640625" style="56" customWidth="1"/>
    <col min="10757" max="10757" width="16.6640625" style="56" customWidth="1"/>
    <col min="10758" max="10758" width="17.6640625" style="56" customWidth="1"/>
    <col min="10759" max="10759" width="11.33203125" style="56" customWidth="1"/>
    <col min="10760" max="10764" width="13" style="56" customWidth="1"/>
    <col min="10765" max="10765" width="9" style="56" customWidth="1"/>
    <col min="10766" max="11008" width="12" style="56"/>
    <col min="11009" max="11009" width="23.33203125" style="56" customWidth="1"/>
    <col min="11010" max="11010" width="24.5" style="56" customWidth="1"/>
    <col min="11011" max="11011" width="16.6640625" style="56" customWidth="1"/>
    <col min="11012" max="11012" width="17.6640625" style="56" customWidth="1"/>
    <col min="11013" max="11013" width="16.6640625" style="56" customWidth="1"/>
    <col min="11014" max="11014" width="17.6640625" style="56" customWidth="1"/>
    <col min="11015" max="11015" width="11.33203125" style="56" customWidth="1"/>
    <col min="11016" max="11020" width="13" style="56" customWidth="1"/>
    <col min="11021" max="11021" width="9" style="56" customWidth="1"/>
    <col min="11022" max="11264" width="12" style="56"/>
    <col min="11265" max="11265" width="23.33203125" style="56" customWidth="1"/>
    <col min="11266" max="11266" width="24.5" style="56" customWidth="1"/>
    <col min="11267" max="11267" width="16.6640625" style="56" customWidth="1"/>
    <col min="11268" max="11268" width="17.6640625" style="56" customWidth="1"/>
    <col min="11269" max="11269" width="16.6640625" style="56" customWidth="1"/>
    <col min="11270" max="11270" width="17.6640625" style="56" customWidth="1"/>
    <col min="11271" max="11271" width="11.33203125" style="56" customWidth="1"/>
    <col min="11272" max="11276" width="13" style="56" customWidth="1"/>
    <col min="11277" max="11277" width="9" style="56" customWidth="1"/>
    <col min="11278" max="11520" width="12" style="56"/>
    <col min="11521" max="11521" width="23.33203125" style="56" customWidth="1"/>
    <col min="11522" max="11522" width="24.5" style="56" customWidth="1"/>
    <col min="11523" max="11523" width="16.6640625" style="56" customWidth="1"/>
    <col min="11524" max="11524" width="17.6640625" style="56" customWidth="1"/>
    <col min="11525" max="11525" width="16.6640625" style="56" customWidth="1"/>
    <col min="11526" max="11526" width="17.6640625" style="56" customWidth="1"/>
    <col min="11527" max="11527" width="11.33203125" style="56" customWidth="1"/>
    <col min="11528" max="11532" width="13" style="56" customWidth="1"/>
    <col min="11533" max="11533" width="9" style="56" customWidth="1"/>
    <col min="11534" max="11776" width="12" style="56"/>
    <col min="11777" max="11777" width="23.33203125" style="56" customWidth="1"/>
    <col min="11778" max="11778" width="24.5" style="56" customWidth="1"/>
    <col min="11779" max="11779" width="16.6640625" style="56" customWidth="1"/>
    <col min="11780" max="11780" width="17.6640625" style="56" customWidth="1"/>
    <col min="11781" max="11781" width="16.6640625" style="56" customWidth="1"/>
    <col min="11782" max="11782" width="17.6640625" style="56" customWidth="1"/>
    <col min="11783" max="11783" width="11.33203125" style="56" customWidth="1"/>
    <col min="11784" max="11788" width="13" style="56" customWidth="1"/>
    <col min="11789" max="11789" width="9" style="56" customWidth="1"/>
    <col min="11790" max="12032" width="12" style="56"/>
    <col min="12033" max="12033" width="23.33203125" style="56" customWidth="1"/>
    <col min="12034" max="12034" width="24.5" style="56" customWidth="1"/>
    <col min="12035" max="12035" width="16.6640625" style="56" customWidth="1"/>
    <col min="12036" max="12036" width="17.6640625" style="56" customWidth="1"/>
    <col min="12037" max="12037" width="16.6640625" style="56" customWidth="1"/>
    <col min="12038" max="12038" width="17.6640625" style="56" customWidth="1"/>
    <col min="12039" max="12039" width="11.33203125" style="56" customWidth="1"/>
    <col min="12040" max="12044" width="13" style="56" customWidth="1"/>
    <col min="12045" max="12045" width="9" style="56" customWidth="1"/>
    <col min="12046" max="12288" width="12" style="56"/>
    <col min="12289" max="12289" width="23.33203125" style="56" customWidth="1"/>
    <col min="12290" max="12290" width="24.5" style="56" customWidth="1"/>
    <col min="12291" max="12291" width="16.6640625" style="56" customWidth="1"/>
    <col min="12292" max="12292" width="17.6640625" style="56" customWidth="1"/>
    <col min="12293" max="12293" width="16.6640625" style="56" customWidth="1"/>
    <col min="12294" max="12294" width="17.6640625" style="56" customWidth="1"/>
    <col min="12295" max="12295" width="11.33203125" style="56" customWidth="1"/>
    <col min="12296" max="12300" width="13" style="56" customWidth="1"/>
    <col min="12301" max="12301" width="9" style="56" customWidth="1"/>
    <col min="12302" max="12544" width="12" style="56"/>
    <col min="12545" max="12545" width="23.33203125" style="56" customWidth="1"/>
    <col min="12546" max="12546" width="24.5" style="56" customWidth="1"/>
    <col min="12547" max="12547" width="16.6640625" style="56" customWidth="1"/>
    <col min="12548" max="12548" width="17.6640625" style="56" customWidth="1"/>
    <col min="12549" max="12549" width="16.6640625" style="56" customWidth="1"/>
    <col min="12550" max="12550" width="17.6640625" style="56" customWidth="1"/>
    <col min="12551" max="12551" width="11.33203125" style="56" customWidth="1"/>
    <col min="12552" max="12556" width="13" style="56" customWidth="1"/>
    <col min="12557" max="12557" width="9" style="56" customWidth="1"/>
    <col min="12558" max="12800" width="12" style="56"/>
    <col min="12801" max="12801" width="23.33203125" style="56" customWidth="1"/>
    <col min="12802" max="12802" width="24.5" style="56" customWidth="1"/>
    <col min="12803" max="12803" width="16.6640625" style="56" customWidth="1"/>
    <col min="12804" max="12804" width="17.6640625" style="56" customWidth="1"/>
    <col min="12805" max="12805" width="16.6640625" style="56" customWidth="1"/>
    <col min="12806" max="12806" width="17.6640625" style="56" customWidth="1"/>
    <col min="12807" max="12807" width="11.33203125" style="56" customWidth="1"/>
    <col min="12808" max="12812" width="13" style="56" customWidth="1"/>
    <col min="12813" max="12813" width="9" style="56" customWidth="1"/>
    <col min="12814" max="13056" width="12" style="56"/>
    <col min="13057" max="13057" width="23.33203125" style="56" customWidth="1"/>
    <col min="13058" max="13058" width="24.5" style="56" customWidth="1"/>
    <col min="13059" max="13059" width="16.6640625" style="56" customWidth="1"/>
    <col min="13060" max="13060" width="17.6640625" style="56" customWidth="1"/>
    <col min="13061" max="13061" width="16.6640625" style="56" customWidth="1"/>
    <col min="13062" max="13062" width="17.6640625" style="56" customWidth="1"/>
    <col min="13063" max="13063" width="11.33203125" style="56" customWidth="1"/>
    <col min="13064" max="13068" width="13" style="56" customWidth="1"/>
    <col min="13069" max="13069" width="9" style="56" customWidth="1"/>
    <col min="13070" max="13312" width="12" style="56"/>
    <col min="13313" max="13313" width="23.33203125" style="56" customWidth="1"/>
    <col min="13314" max="13314" width="24.5" style="56" customWidth="1"/>
    <col min="13315" max="13315" width="16.6640625" style="56" customWidth="1"/>
    <col min="13316" max="13316" width="17.6640625" style="56" customWidth="1"/>
    <col min="13317" max="13317" width="16.6640625" style="56" customWidth="1"/>
    <col min="13318" max="13318" width="17.6640625" style="56" customWidth="1"/>
    <col min="13319" max="13319" width="11.33203125" style="56" customWidth="1"/>
    <col min="13320" max="13324" width="13" style="56" customWidth="1"/>
    <col min="13325" max="13325" width="9" style="56" customWidth="1"/>
    <col min="13326" max="13568" width="12" style="56"/>
    <col min="13569" max="13569" width="23.33203125" style="56" customWidth="1"/>
    <col min="13570" max="13570" width="24.5" style="56" customWidth="1"/>
    <col min="13571" max="13571" width="16.6640625" style="56" customWidth="1"/>
    <col min="13572" max="13572" width="17.6640625" style="56" customWidth="1"/>
    <col min="13573" max="13573" width="16.6640625" style="56" customWidth="1"/>
    <col min="13574" max="13574" width="17.6640625" style="56" customWidth="1"/>
    <col min="13575" max="13575" width="11.33203125" style="56" customWidth="1"/>
    <col min="13576" max="13580" width="13" style="56" customWidth="1"/>
    <col min="13581" max="13581" width="9" style="56" customWidth="1"/>
    <col min="13582" max="13824" width="12" style="56"/>
    <col min="13825" max="13825" width="23.33203125" style="56" customWidth="1"/>
    <col min="13826" max="13826" width="24.5" style="56" customWidth="1"/>
    <col min="13827" max="13827" width="16.6640625" style="56" customWidth="1"/>
    <col min="13828" max="13828" width="17.6640625" style="56" customWidth="1"/>
    <col min="13829" max="13829" width="16.6640625" style="56" customWidth="1"/>
    <col min="13830" max="13830" width="17.6640625" style="56" customWidth="1"/>
    <col min="13831" max="13831" width="11.33203125" style="56" customWidth="1"/>
    <col min="13832" max="13836" width="13" style="56" customWidth="1"/>
    <col min="13837" max="13837" width="9" style="56" customWidth="1"/>
    <col min="13838" max="14080" width="12" style="56"/>
    <col min="14081" max="14081" width="23.33203125" style="56" customWidth="1"/>
    <col min="14082" max="14082" width="24.5" style="56" customWidth="1"/>
    <col min="14083" max="14083" width="16.6640625" style="56" customWidth="1"/>
    <col min="14084" max="14084" width="17.6640625" style="56" customWidth="1"/>
    <col min="14085" max="14085" width="16.6640625" style="56" customWidth="1"/>
    <col min="14086" max="14086" width="17.6640625" style="56" customWidth="1"/>
    <col min="14087" max="14087" width="11.33203125" style="56" customWidth="1"/>
    <col min="14088" max="14092" width="13" style="56" customWidth="1"/>
    <col min="14093" max="14093" width="9" style="56" customWidth="1"/>
    <col min="14094" max="14336" width="12" style="56"/>
    <col min="14337" max="14337" width="23.33203125" style="56" customWidth="1"/>
    <col min="14338" max="14338" width="24.5" style="56" customWidth="1"/>
    <col min="14339" max="14339" width="16.6640625" style="56" customWidth="1"/>
    <col min="14340" max="14340" width="17.6640625" style="56" customWidth="1"/>
    <col min="14341" max="14341" width="16.6640625" style="56" customWidth="1"/>
    <col min="14342" max="14342" width="17.6640625" style="56" customWidth="1"/>
    <col min="14343" max="14343" width="11.33203125" style="56" customWidth="1"/>
    <col min="14344" max="14348" width="13" style="56" customWidth="1"/>
    <col min="14349" max="14349" width="9" style="56" customWidth="1"/>
    <col min="14350" max="14592" width="12" style="56"/>
    <col min="14593" max="14593" width="23.33203125" style="56" customWidth="1"/>
    <col min="14594" max="14594" width="24.5" style="56" customWidth="1"/>
    <col min="14595" max="14595" width="16.6640625" style="56" customWidth="1"/>
    <col min="14596" max="14596" width="17.6640625" style="56" customWidth="1"/>
    <col min="14597" max="14597" width="16.6640625" style="56" customWidth="1"/>
    <col min="14598" max="14598" width="17.6640625" style="56" customWidth="1"/>
    <col min="14599" max="14599" width="11.33203125" style="56" customWidth="1"/>
    <col min="14600" max="14604" width="13" style="56" customWidth="1"/>
    <col min="14605" max="14605" width="9" style="56" customWidth="1"/>
    <col min="14606" max="14848" width="12" style="56"/>
    <col min="14849" max="14849" width="23.33203125" style="56" customWidth="1"/>
    <col min="14850" max="14850" width="24.5" style="56" customWidth="1"/>
    <col min="14851" max="14851" width="16.6640625" style="56" customWidth="1"/>
    <col min="14852" max="14852" width="17.6640625" style="56" customWidth="1"/>
    <col min="14853" max="14853" width="16.6640625" style="56" customWidth="1"/>
    <col min="14854" max="14854" width="17.6640625" style="56" customWidth="1"/>
    <col min="14855" max="14855" width="11.33203125" style="56" customWidth="1"/>
    <col min="14856" max="14860" width="13" style="56" customWidth="1"/>
    <col min="14861" max="14861" width="9" style="56" customWidth="1"/>
    <col min="14862" max="15104" width="12" style="56"/>
    <col min="15105" max="15105" width="23.33203125" style="56" customWidth="1"/>
    <col min="15106" max="15106" width="24.5" style="56" customWidth="1"/>
    <col min="15107" max="15107" width="16.6640625" style="56" customWidth="1"/>
    <col min="15108" max="15108" width="17.6640625" style="56" customWidth="1"/>
    <col min="15109" max="15109" width="16.6640625" style="56" customWidth="1"/>
    <col min="15110" max="15110" width="17.6640625" style="56" customWidth="1"/>
    <col min="15111" max="15111" width="11.33203125" style="56" customWidth="1"/>
    <col min="15112" max="15116" width="13" style="56" customWidth="1"/>
    <col min="15117" max="15117" width="9" style="56" customWidth="1"/>
    <col min="15118" max="15360" width="12" style="56"/>
    <col min="15361" max="15361" width="23.33203125" style="56" customWidth="1"/>
    <col min="15362" max="15362" width="24.5" style="56" customWidth="1"/>
    <col min="15363" max="15363" width="16.6640625" style="56" customWidth="1"/>
    <col min="15364" max="15364" width="17.6640625" style="56" customWidth="1"/>
    <col min="15365" max="15365" width="16.6640625" style="56" customWidth="1"/>
    <col min="15366" max="15366" width="17.6640625" style="56" customWidth="1"/>
    <col min="15367" max="15367" width="11.33203125" style="56" customWidth="1"/>
    <col min="15368" max="15372" width="13" style="56" customWidth="1"/>
    <col min="15373" max="15373" width="9" style="56" customWidth="1"/>
    <col min="15374" max="15616" width="12" style="56"/>
    <col min="15617" max="15617" width="23.33203125" style="56" customWidth="1"/>
    <col min="15618" max="15618" width="24.5" style="56" customWidth="1"/>
    <col min="15619" max="15619" width="16.6640625" style="56" customWidth="1"/>
    <col min="15620" max="15620" width="17.6640625" style="56" customWidth="1"/>
    <col min="15621" max="15621" width="16.6640625" style="56" customWidth="1"/>
    <col min="15622" max="15622" width="17.6640625" style="56" customWidth="1"/>
    <col min="15623" max="15623" width="11.33203125" style="56" customWidth="1"/>
    <col min="15624" max="15628" width="13" style="56" customWidth="1"/>
    <col min="15629" max="15629" width="9" style="56" customWidth="1"/>
    <col min="15630" max="15872" width="12" style="56"/>
    <col min="15873" max="15873" width="23.33203125" style="56" customWidth="1"/>
    <col min="15874" max="15874" width="24.5" style="56" customWidth="1"/>
    <col min="15875" max="15875" width="16.6640625" style="56" customWidth="1"/>
    <col min="15876" max="15876" width="17.6640625" style="56" customWidth="1"/>
    <col min="15877" max="15877" width="16.6640625" style="56" customWidth="1"/>
    <col min="15878" max="15878" width="17.6640625" style="56" customWidth="1"/>
    <col min="15879" max="15879" width="11.33203125" style="56" customWidth="1"/>
    <col min="15880" max="15884" width="13" style="56" customWidth="1"/>
    <col min="15885" max="15885" width="9" style="56" customWidth="1"/>
    <col min="15886" max="16128" width="12" style="56"/>
    <col min="16129" max="16129" width="23.33203125" style="56" customWidth="1"/>
    <col min="16130" max="16130" width="24.5" style="56" customWidth="1"/>
    <col min="16131" max="16131" width="16.6640625" style="56" customWidth="1"/>
    <col min="16132" max="16132" width="17.6640625" style="56" customWidth="1"/>
    <col min="16133" max="16133" width="16.6640625" style="56" customWidth="1"/>
    <col min="16134" max="16134" width="17.6640625" style="56" customWidth="1"/>
    <col min="16135" max="16135" width="11.33203125" style="56" customWidth="1"/>
    <col min="16136" max="16140" width="13" style="56" customWidth="1"/>
    <col min="16141" max="16141" width="9" style="56" customWidth="1"/>
    <col min="16142" max="16384" width="12" style="56"/>
  </cols>
  <sheetData>
    <row r="1" spans="1:13" ht="30" customHeight="1" thickBot="1">
      <c r="A1" s="238" t="s">
        <v>280</v>
      </c>
      <c r="B1" s="240"/>
      <c r="C1" s="239"/>
      <c r="D1" s="240"/>
      <c r="E1" s="240"/>
      <c r="F1" s="240"/>
      <c r="G1" s="240"/>
      <c r="H1" s="240"/>
      <c r="I1" s="240"/>
      <c r="J1" s="240"/>
      <c r="K1" s="240"/>
      <c r="M1" s="67"/>
    </row>
    <row r="3" spans="1:13" ht="21">
      <c r="A3" s="174" t="s">
        <v>214</v>
      </c>
    </row>
    <row r="4" spans="1:13" ht="11.25" customHeight="1">
      <c r="B4" s="174"/>
    </row>
    <row r="5" spans="1:13" ht="11.25" customHeight="1">
      <c r="B5" s="174"/>
    </row>
    <row r="6" spans="1:13" ht="11.25" customHeight="1">
      <c r="B6" s="174"/>
    </row>
    <row r="7" spans="1:13" ht="11.25" customHeight="1">
      <c r="B7" s="174"/>
    </row>
    <row r="8" spans="1:13">
      <c r="B8" s="264"/>
      <c r="C8" s="264"/>
      <c r="D8" s="264"/>
      <c r="E8" s="264"/>
      <c r="F8" s="264"/>
      <c r="G8" s="264"/>
      <c r="H8" s="264"/>
      <c r="I8" s="264"/>
      <c r="J8" s="264"/>
    </row>
    <row r="9" spans="1:13">
      <c r="B9" s="264"/>
      <c r="C9" s="264"/>
      <c r="D9" s="264"/>
      <c r="E9" s="264"/>
      <c r="F9" s="264"/>
      <c r="G9" s="264"/>
      <c r="H9" s="264"/>
      <c r="I9" s="264"/>
      <c r="J9" s="264"/>
    </row>
    <row r="10" spans="1:13">
      <c r="B10" s="264"/>
      <c r="C10" s="264"/>
      <c r="D10" s="264"/>
      <c r="E10" s="264"/>
      <c r="F10" s="264"/>
      <c r="G10" s="264"/>
      <c r="H10" s="264"/>
      <c r="I10" s="264"/>
      <c r="J10" s="264"/>
    </row>
    <row r="11" spans="1:13">
      <c r="B11" s="264"/>
      <c r="C11" s="264"/>
      <c r="D11" s="264"/>
      <c r="E11" s="264"/>
      <c r="F11" s="264"/>
      <c r="G11" s="264"/>
      <c r="H11" s="264"/>
      <c r="I11" s="264"/>
      <c r="J11" s="264"/>
    </row>
    <row r="12" spans="1:13">
      <c r="J12" s="166">
        <f>H16/1534</f>
        <v>1.0176010430247719</v>
      </c>
    </row>
    <row r="13" spans="1:13" s="67" customFormat="1">
      <c r="F13" s="235"/>
      <c r="H13" s="235"/>
      <c r="I13" s="234"/>
    </row>
    <row r="14" spans="1:13" s="67" customFormat="1" ht="12" thickBot="1"/>
    <row r="15" spans="1:13" s="67" customFormat="1" ht="26.25" thickBot="1">
      <c r="B15" s="56"/>
      <c r="C15" s="392" t="s">
        <v>837</v>
      </c>
      <c r="D15" s="392" t="s">
        <v>838</v>
      </c>
      <c r="E15" s="392" t="s">
        <v>881</v>
      </c>
      <c r="F15" s="392" t="s">
        <v>882</v>
      </c>
      <c r="G15" s="392" t="s">
        <v>1120</v>
      </c>
      <c r="H15" s="392" t="s">
        <v>1121</v>
      </c>
      <c r="I15" s="236"/>
    </row>
    <row r="16" spans="1:13" s="393" customFormat="1" ht="20.25" customHeight="1" thickBot="1">
      <c r="B16" s="394" t="s">
        <v>391</v>
      </c>
      <c r="C16" s="498">
        <v>1375</v>
      </c>
      <c r="D16" s="1520">
        <v>1501</v>
      </c>
      <c r="E16" s="498">
        <v>1374</v>
      </c>
      <c r="F16" s="1520">
        <v>1535</v>
      </c>
      <c r="G16" s="1382">
        <v>1386</v>
      </c>
      <c r="H16" s="1522">
        <v>1561</v>
      </c>
    </row>
    <row r="17" spans="2:9" s="67" customFormat="1" ht="16.5" thickBot="1">
      <c r="B17" s="394" t="s">
        <v>479</v>
      </c>
      <c r="C17" s="498">
        <v>152</v>
      </c>
      <c r="D17" s="1521"/>
      <c r="E17" s="498">
        <v>177</v>
      </c>
      <c r="F17" s="1521"/>
      <c r="G17" s="1382">
        <v>189</v>
      </c>
      <c r="H17" s="1523"/>
    </row>
    <row r="18" spans="2:9" s="67" customFormat="1">
      <c r="B18" s="500"/>
      <c r="E18" s="499"/>
      <c r="G18" s="499"/>
    </row>
    <row r="19" spans="2:9" s="67" customFormat="1">
      <c r="B19" s="500"/>
    </row>
    <row r="22" spans="2:9">
      <c r="F22"/>
      <c r="H22"/>
    </row>
    <row r="23" spans="2:9">
      <c r="F23"/>
      <c r="H23"/>
    </row>
    <row r="24" spans="2:9">
      <c r="F24"/>
      <c r="H24"/>
    </row>
    <row r="25" spans="2:9" ht="15">
      <c r="B25" s="258"/>
      <c r="F25"/>
      <c r="H25"/>
      <c r="I25" s="271"/>
    </row>
    <row r="26" spans="2:9" ht="15">
      <c r="B26" s="258"/>
    </row>
    <row r="28" spans="2:9">
      <c r="D28" s="67"/>
    </row>
  </sheetData>
  <mergeCells count="3">
    <mergeCell ref="D16:D17"/>
    <mergeCell ref="F16:F17"/>
    <mergeCell ref="H16:H17"/>
  </mergeCells>
  <pageMargins left="0.11811023622047245" right="0.11811023622047245" top="0.35433070866141736" bottom="0.35433070866141736" header="0.31496062992125984" footer="0.31496062992125984"/>
  <pageSetup paperSize="9" scale="9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S149"/>
  <sheetViews>
    <sheetView showGridLines="0" zoomScaleNormal="100" zoomScaleSheetLayoutView="80" workbookViewId="0">
      <selection activeCell="R24" sqref="R24"/>
    </sheetView>
  </sheetViews>
  <sheetFormatPr baseColWidth="10" defaultColWidth="12" defaultRowHeight="11.25"/>
  <cols>
    <col min="1" max="1" width="14.6640625" style="56" customWidth="1"/>
    <col min="2" max="2" width="12" style="56" customWidth="1"/>
    <col min="3" max="10" width="10.5" style="56" customWidth="1"/>
    <col min="11" max="11" width="12.33203125" style="56" customWidth="1"/>
    <col min="12" max="13" width="10.5" style="56" customWidth="1"/>
    <col min="14" max="14" width="13.1640625" style="56" customWidth="1"/>
    <col min="15" max="15" width="10.5" style="56" customWidth="1"/>
    <col min="16" max="16" width="7.1640625" style="56" customWidth="1"/>
    <col min="17" max="17" width="12" style="56"/>
    <col min="18" max="18" width="11.33203125" style="56" bestFit="1" customWidth="1"/>
    <col min="19" max="26" width="10.6640625" style="56" customWidth="1"/>
    <col min="27" max="16384" width="12" style="56"/>
  </cols>
  <sheetData>
    <row r="1" spans="1:15" ht="18.75">
      <c r="A1" s="230" t="s">
        <v>664</v>
      </c>
      <c r="D1" s="169"/>
      <c r="F1" s="169"/>
    </row>
    <row r="2" spans="1:15" ht="11.25" customHeight="1">
      <c r="A2" s="230"/>
      <c r="D2" s="169"/>
      <c r="F2" s="169"/>
    </row>
    <row r="3" spans="1:15" ht="11.25" customHeight="1">
      <c r="A3" s="230"/>
      <c r="D3" s="169"/>
      <c r="F3" s="169"/>
    </row>
    <row r="4" spans="1:15" ht="11.25" customHeight="1">
      <c r="A4" s="230"/>
      <c r="D4" s="169"/>
      <c r="F4" s="169"/>
    </row>
    <row r="5" spans="1:15" ht="11.25" customHeight="1">
      <c r="A5" s="230"/>
      <c r="D5" s="169"/>
      <c r="F5" s="169"/>
    </row>
    <row r="6" spans="1:15" ht="11.25" customHeight="1">
      <c r="A6" s="230"/>
      <c r="D6" s="169"/>
      <c r="F6" s="169"/>
    </row>
    <row r="7" spans="1:15">
      <c r="A7" s="159"/>
    </row>
    <row r="12" spans="1:15">
      <c r="D12" s="728"/>
    </row>
    <row r="14" spans="1:15">
      <c r="G14" s="665"/>
    </row>
    <row r="15" spans="1:15">
      <c r="G15" s="665"/>
      <c r="N15" s="56" t="s">
        <v>757</v>
      </c>
      <c r="O15" s="56">
        <v>373</v>
      </c>
    </row>
    <row r="16" spans="1:15">
      <c r="G16" s="665"/>
      <c r="N16" s="56" t="s">
        <v>756</v>
      </c>
      <c r="O16" s="56">
        <v>614</v>
      </c>
    </row>
    <row r="17" spans="1:17">
      <c r="G17" s="665"/>
      <c r="N17" s="56" t="s">
        <v>116</v>
      </c>
      <c r="O17" s="909">
        <f>O15/O16</f>
        <v>0.60749185667752448</v>
      </c>
    </row>
    <row r="18" spans="1:17">
      <c r="O18" s="268"/>
    </row>
    <row r="19" spans="1:17">
      <c r="N19" s="56" t="s">
        <v>758</v>
      </c>
      <c r="O19" s="268">
        <v>174</v>
      </c>
    </row>
    <row r="20" spans="1:17">
      <c r="B20" s="57"/>
      <c r="C20" s="56">
        <v>2018</v>
      </c>
      <c r="D20" s="56">
        <v>2019</v>
      </c>
      <c r="E20" s="56">
        <v>2020</v>
      </c>
      <c r="F20" s="56">
        <v>2021</v>
      </c>
      <c r="G20" s="56">
        <v>2022</v>
      </c>
      <c r="N20" s="56" t="s">
        <v>116</v>
      </c>
      <c r="O20" s="910">
        <f>O19/O15</f>
        <v>0.46648793565683644</v>
      </c>
    </row>
    <row r="21" spans="1:17">
      <c r="B21" s="168" t="s">
        <v>83</v>
      </c>
      <c r="C21" s="56">
        <v>171</v>
      </c>
      <c r="D21" s="56">
        <v>306</v>
      </c>
      <c r="E21" s="56">
        <v>507</v>
      </c>
      <c r="F21" s="56">
        <v>386</v>
      </c>
      <c r="G21" s="56">
        <v>293</v>
      </c>
    </row>
    <row r="22" spans="1:17">
      <c r="B22" s="162" t="s">
        <v>422</v>
      </c>
      <c r="C22" s="56">
        <v>115</v>
      </c>
      <c r="D22" s="56">
        <v>182</v>
      </c>
      <c r="E22" s="56">
        <v>309</v>
      </c>
      <c r="F22" s="56">
        <v>339</v>
      </c>
      <c r="G22" s="56">
        <v>323</v>
      </c>
    </row>
    <row r="23" spans="1:17">
      <c r="B23" s="168" t="s">
        <v>85</v>
      </c>
      <c r="C23" s="56">
        <v>73</v>
      </c>
      <c r="D23" s="56">
        <v>130</v>
      </c>
      <c r="E23" s="56">
        <v>309</v>
      </c>
      <c r="F23" s="56">
        <v>361</v>
      </c>
      <c r="G23" s="56">
        <v>273</v>
      </c>
    </row>
    <row r="24" spans="1:17" ht="10.15" customHeight="1">
      <c r="C24" s="56">
        <f>SUM(C21:C23)</f>
        <v>359</v>
      </c>
      <c r="D24" s="56">
        <f t="shared" ref="D24:G24" si="0">SUM(D21:D23)</f>
        <v>618</v>
      </c>
      <c r="E24" s="56">
        <f t="shared" si="0"/>
        <v>1125</v>
      </c>
      <c r="F24" s="56">
        <f t="shared" si="0"/>
        <v>1086</v>
      </c>
      <c r="G24" s="56">
        <f t="shared" si="0"/>
        <v>889</v>
      </c>
    </row>
    <row r="25" spans="1:17" ht="13.15" customHeight="1"/>
    <row r="26" spans="1:17" ht="13.15" customHeight="1"/>
    <row r="27" spans="1:17" ht="13.15" customHeight="1">
      <c r="D27" s="728"/>
      <c r="E27" s="668"/>
      <c r="F27" s="668"/>
    </row>
    <row r="28" spans="1:17" ht="13.15" customHeight="1"/>
    <row r="29" spans="1:17" ht="13.15" customHeight="1"/>
    <row r="30" spans="1:17" ht="10.15" customHeight="1">
      <c r="A30" s="177"/>
    </row>
    <row r="31" spans="1:17" ht="12">
      <c r="A31" s="177"/>
    </row>
    <row r="32" spans="1:17">
      <c r="L32" s="57"/>
      <c r="M32" s="56">
        <v>2018</v>
      </c>
      <c r="N32" s="56">
        <v>2019</v>
      </c>
      <c r="O32" s="56">
        <v>2020</v>
      </c>
      <c r="P32" s="56">
        <v>2021</v>
      </c>
      <c r="Q32" s="56">
        <v>2022</v>
      </c>
    </row>
    <row r="33" spans="2:17">
      <c r="L33" s="57" t="s">
        <v>89</v>
      </c>
      <c r="M33" s="56">
        <v>87</v>
      </c>
      <c r="N33" s="56">
        <v>57</v>
      </c>
      <c r="O33" s="56">
        <v>135</v>
      </c>
      <c r="P33" s="56">
        <v>126</v>
      </c>
      <c r="Q33" s="56">
        <v>125</v>
      </c>
    </row>
    <row r="34" spans="2:17">
      <c r="L34" s="57" t="s">
        <v>88</v>
      </c>
      <c r="M34" s="56">
        <v>32</v>
      </c>
      <c r="N34" s="56">
        <v>34</v>
      </c>
      <c r="O34" s="56">
        <v>69</v>
      </c>
      <c r="P34" s="56">
        <v>61</v>
      </c>
      <c r="Q34" s="56">
        <v>49</v>
      </c>
    </row>
    <row r="35" spans="2:17" ht="12">
      <c r="B35" s="668" t="s">
        <v>89</v>
      </c>
      <c r="C35" s="669">
        <v>619</v>
      </c>
    </row>
    <row r="36" spans="2:17" ht="12">
      <c r="B36" s="668" t="s">
        <v>88</v>
      </c>
      <c r="C36" s="669">
        <v>270</v>
      </c>
    </row>
    <row r="41" spans="2:17" ht="53.65" customHeight="1"/>
    <row r="42" spans="2:17" ht="24.6" customHeight="1"/>
    <row r="43" spans="2:17" ht="11.25" customHeight="1"/>
    <row r="44" spans="2:17" ht="11.25" customHeight="1"/>
    <row r="45" spans="2:17" ht="11.25" customHeight="1"/>
    <row r="46" spans="2:17" ht="11.25" customHeight="1">
      <c r="C46" s="1608" t="s">
        <v>1092</v>
      </c>
      <c r="D46" s="1608"/>
      <c r="E46" s="1608"/>
      <c r="F46" s="1608"/>
      <c r="G46" s="1608"/>
      <c r="H46" s="1608"/>
    </row>
    <row r="47" spans="2:17" ht="5.65" customHeight="1" thickBot="1"/>
    <row r="48" spans="2:17" ht="24" customHeight="1" thickBot="1">
      <c r="B48" s="434"/>
      <c r="C48" s="1669" t="s">
        <v>272</v>
      </c>
      <c r="D48" s="1670"/>
      <c r="E48" s="1671" t="s">
        <v>591</v>
      </c>
      <c r="F48" s="1669" t="s">
        <v>47</v>
      </c>
      <c r="G48" s="1670"/>
      <c r="H48" s="1671" t="s">
        <v>273</v>
      </c>
      <c r="M48" s="720"/>
    </row>
    <row r="49" spans="1:19" ht="16.899999999999999" customHeight="1" thickBot="1">
      <c r="B49" s="434"/>
      <c r="C49" s="424" t="s">
        <v>87</v>
      </c>
      <c r="D49" s="424" t="s">
        <v>130</v>
      </c>
      <c r="E49" s="1672"/>
      <c r="F49" s="670" t="s">
        <v>87</v>
      </c>
      <c r="G49" s="670" t="s">
        <v>130</v>
      </c>
      <c r="H49" s="1672"/>
    </row>
    <row r="50" spans="1:19" ht="16.899999999999999" customHeight="1" thickBot="1">
      <c r="B50" s="391" t="s">
        <v>83</v>
      </c>
      <c r="C50" s="344">
        <v>51</v>
      </c>
      <c r="D50" s="344">
        <v>52</v>
      </c>
      <c r="E50" s="344">
        <v>135</v>
      </c>
      <c r="F50" s="888">
        <f>C50*E50</f>
        <v>6885</v>
      </c>
      <c r="G50" s="888">
        <f>D50*E50</f>
        <v>7020</v>
      </c>
      <c r="H50" s="888">
        <f>F50+G50</f>
        <v>13905</v>
      </c>
      <c r="M50" s="720"/>
    </row>
    <row r="51" spans="1:19" ht="16.899999999999999" customHeight="1" thickBot="1">
      <c r="B51" s="391" t="s">
        <v>84</v>
      </c>
      <c r="C51" s="344">
        <v>23</v>
      </c>
      <c r="D51" s="344">
        <v>18</v>
      </c>
      <c r="E51" s="344">
        <v>90</v>
      </c>
      <c r="F51" s="888">
        <f>C51*E51</f>
        <v>2070</v>
      </c>
      <c r="G51" s="888">
        <f t="shared" ref="G51:G52" si="1">D51*E51</f>
        <v>1620</v>
      </c>
      <c r="H51" s="888">
        <f>SUM(F51:G51)</f>
        <v>3690</v>
      </c>
      <c r="M51" s="720"/>
      <c r="S51" s="720"/>
    </row>
    <row r="52" spans="1:19" ht="16.899999999999999" customHeight="1" thickBot="1">
      <c r="B52" s="391" t="s">
        <v>85</v>
      </c>
      <c r="C52" s="344">
        <v>8</v>
      </c>
      <c r="D52" s="344">
        <v>10</v>
      </c>
      <c r="E52" s="344">
        <v>75</v>
      </c>
      <c r="F52" s="888">
        <f>C52*E52</f>
        <v>600</v>
      </c>
      <c r="G52" s="888">
        <f t="shared" si="1"/>
        <v>750</v>
      </c>
      <c r="H52" s="888">
        <f>SUM(F52:G52)</f>
        <v>1350</v>
      </c>
      <c r="M52" s="720"/>
      <c r="S52" s="720"/>
    </row>
    <row r="53" spans="1:19" ht="16.899999999999999" customHeight="1" thickBot="1">
      <c r="B53" s="645" t="s">
        <v>38</v>
      </c>
      <c r="C53" s="885">
        <f>SUBTOTAL(9,C50:C52)</f>
        <v>82</v>
      </c>
      <c r="D53" s="885">
        <f>SUBTOTAL(9,D50:D52)</f>
        <v>80</v>
      </c>
      <c r="E53" s="886"/>
      <c r="F53" s="887">
        <f>SUM(F50:F52)</f>
        <v>9555</v>
      </c>
      <c r="G53" s="887">
        <f>SUM(G50:G52)</f>
        <v>9390</v>
      </c>
      <c r="H53" s="887">
        <f>SUM(H50:H52)</f>
        <v>18945</v>
      </c>
      <c r="M53" s="720"/>
      <c r="S53" s="720"/>
    </row>
    <row r="54" spans="1:19" ht="11.25" customHeight="1">
      <c r="S54" s="720"/>
    </row>
    <row r="55" spans="1:19" ht="11.25" customHeight="1">
      <c r="B55" s="434"/>
      <c r="C55" s="434"/>
      <c r="D55" s="434"/>
      <c r="E55" s="434"/>
      <c r="F55" s="434"/>
      <c r="G55" s="434"/>
      <c r="H55" s="434"/>
      <c r="I55" s="434"/>
    </row>
    <row r="56" spans="1:19" ht="11.25" customHeight="1">
      <c r="A56" s="191"/>
      <c r="B56" s="434"/>
      <c r="C56" s="434"/>
      <c r="D56" s="434"/>
      <c r="E56" s="434"/>
      <c r="F56" s="434"/>
      <c r="G56" s="434"/>
      <c r="H56" s="434"/>
      <c r="I56" s="434"/>
    </row>
    <row r="57" spans="1:19" s="434" customFormat="1" ht="16.149999999999999" customHeight="1">
      <c r="A57" s="671"/>
    </row>
    <row r="58" spans="1:19" ht="11.25" customHeight="1">
      <c r="C58" s="1608" t="s">
        <v>888</v>
      </c>
      <c r="D58" s="1608"/>
      <c r="E58" s="1608"/>
      <c r="F58" s="1608"/>
      <c r="G58" s="1608"/>
      <c r="H58" s="1608"/>
    </row>
    <row r="59" spans="1:19" ht="4.9000000000000004" customHeight="1" thickBot="1"/>
    <row r="60" spans="1:19" ht="24" customHeight="1" thickBot="1">
      <c r="B60" s="434"/>
      <c r="C60" s="1669" t="s">
        <v>272</v>
      </c>
      <c r="D60" s="1670"/>
      <c r="E60" s="1671" t="s">
        <v>591</v>
      </c>
      <c r="F60" s="1669" t="s">
        <v>47</v>
      </c>
      <c r="G60" s="1670"/>
      <c r="H60" s="1671" t="s">
        <v>273</v>
      </c>
      <c r="M60" s="720"/>
    </row>
    <row r="61" spans="1:19" ht="16.899999999999999" customHeight="1" thickBot="1">
      <c r="B61" s="434"/>
      <c r="C61" s="424" t="s">
        <v>87</v>
      </c>
      <c r="D61" s="424" t="s">
        <v>130</v>
      </c>
      <c r="E61" s="1672"/>
      <c r="F61" s="1194" t="s">
        <v>87</v>
      </c>
      <c r="G61" s="1194" t="s">
        <v>130</v>
      </c>
      <c r="H61" s="1672"/>
    </row>
    <row r="62" spans="1:19" ht="16.899999999999999" customHeight="1" thickBot="1">
      <c r="B62" s="391" t="s">
        <v>83</v>
      </c>
      <c r="C62" s="344">
        <v>15</v>
      </c>
      <c r="D62" s="344">
        <v>11</v>
      </c>
      <c r="E62" s="344">
        <v>135</v>
      </c>
      <c r="F62" s="888">
        <f>C62*E62</f>
        <v>2025</v>
      </c>
      <c r="G62" s="888">
        <f>D62*E62</f>
        <v>1485</v>
      </c>
      <c r="H62" s="888">
        <f>F62+G62</f>
        <v>3510</v>
      </c>
      <c r="M62" s="720"/>
    </row>
    <row r="63" spans="1:19" ht="16.899999999999999" customHeight="1" thickBot="1">
      <c r="B63" s="391" t="s">
        <v>84</v>
      </c>
      <c r="C63" s="344">
        <v>5</v>
      </c>
      <c r="D63" s="344">
        <v>2</v>
      </c>
      <c r="E63" s="344">
        <v>90</v>
      </c>
      <c r="F63" s="888">
        <f>C63*E63</f>
        <v>450</v>
      </c>
      <c r="G63" s="888">
        <f t="shared" ref="G63:G64" si="2">D63*E63</f>
        <v>180</v>
      </c>
      <c r="H63" s="888">
        <f>SUM(F63:G63)</f>
        <v>630</v>
      </c>
      <c r="M63" s="720"/>
      <c r="S63" s="720"/>
    </row>
    <row r="64" spans="1:19" ht="16.899999999999999" customHeight="1" thickBot="1">
      <c r="B64" s="391" t="s">
        <v>85</v>
      </c>
      <c r="C64" s="344">
        <v>34</v>
      </c>
      <c r="D64" s="344">
        <v>6</v>
      </c>
      <c r="E64" s="344">
        <v>75</v>
      </c>
      <c r="F64" s="888">
        <f>C64*E64</f>
        <v>2550</v>
      </c>
      <c r="G64" s="888">
        <f t="shared" si="2"/>
        <v>450</v>
      </c>
      <c r="H64" s="888">
        <f>SUM(F64:G64)</f>
        <v>3000</v>
      </c>
      <c r="M64" s="720"/>
      <c r="S64" s="720"/>
    </row>
    <row r="65" spans="1:19" ht="16.899999999999999" customHeight="1" thickBot="1">
      <c r="B65" s="645" t="s">
        <v>38</v>
      </c>
      <c r="C65" s="885">
        <f>SUBTOTAL(9,C62:C64)</f>
        <v>54</v>
      </c>
      <c r="D65" s="885">
        <f>SUBTOTAL(9,D62:D64)</f>
        <v>19</v>
      </c>
      <c r="E65" s="886"/>
      <c r="F65" s="887">
        <f>SUM(F62:F64)</f>
        <v>5025</v>
      </c>
      <c r="G65" s="887">
        <f>SUM(G62:G64)</f>
        <v>2115</v>
      </c>
      <c r="H65" s="887">
        <f>SUM(H62:H64)</f>
        <v>7140</v>
      </c>
      <c r="M65" s="720"/>
      <c r="S65" s="720"/>
    </row>
    <row r="67" spans="1:19" ht="12.75">
      <c r="A67" s="175"/>
      <c r="B67" s="58"/>
      <c r="C67" s="58"/>
      <c r="D67" s="58"/>
      <c r="E67" s="58"/>
      <c r="F67" s="58"/>
      <c r="G67" s="58"/>
      <c r="H67" s="58"/>
      <c r="I67" s="58"/>
    </row>
    <row r="68" spans="1:19" ht="12.75">
      <c r="A68" s="175"/>
      <c r="B68" s="69"/>
      <c r="C68" s="58"/>
      <c r="D68" s="58"/>
      <c r="E68" s="58"/>
      <c r="F68" s="58"/>
      <c r="G68" s="58"/>
      <c r="H68" s="58"/>
      <c r="I68" s="193"/>
    </row>
    <row r="69" spans="1:19" ht="12.75">
      <c r="A69" s="175"/>
      <c r="B69" s="69"/>
      <c r="C69" s="58"/>
      <c r="D69" s="58"/>
      <c r="E69" s="58"/>
      <c r="F69" s="58"/>
      <c r="G69" s="58"/>
      <c r="H69" s="58"/>
      <c r="I69" s="193"/>
    </row>
    <row r="70" spans="1:19" ht="12.75">
      <c r="A70" s="175"/>
      <c r="B70" s="69"/>
      <c r="C70" s="58"/>
      <c r="D70" s="58"/>
      <c r="E70" s="58"/>
      <c r="F70" s="58"/>
      <c r="G70" s="58"/>
      <c r="H70" s="58"/>
      <c r="I70" s="193"/>
    </row>
    <row r="71" spans="1:19" ht="11.25" customHeight="1">
      <c r="C71" s="1608" t="s">
        <v>851</v>
      </c>
      <c r="D71" s="1608"/>
      <c r="E71" s="1608"/>
      <c r="F71" s="1608"/>
      <c r="G71" s="1608"/>
      <c r="H71" s="1608"/>
    </row>
    <row r="72" spans="1:19" ht="4.1500000000000004" customHeight="1" thickBot="1"/>
    <row r="73" spans="1:19" ht="24" customHeight="1" thickBot="1">
      <c r="B73" s="434"/>
      <c r="C73" s="1669" t="s">
        <v>272</v>
      </c>
      <c r="D73" s="1670"/>
      <c r="E73" s="1671" t="s">
        <v>591</v>
      </c>
      <c r="F73" s="1669" t="s">
        <v>47</v>
      </c>
      <c r="G73" s="1670"/>
      <c r="H73" s="1671" t="s">
        <v>273</v>
      </c>
      <c r="M73" s="720"/>
    </row>
    <row r="74" spans="1:19" ht="16.899999999999999" customHeight="1" thickBot="1">
      <c r="B74" s="434"/>
      <c r="C74" s="424" t="s">
        <v>87</v>
      </c>
      <c r="D74" s="424" t="s">
        <v>130</v>
      </c>
      <c r="E74" s="1672"/>
      <c r="F74" s="1194" t="s">
        <v>87</v>
      </c>
      <c r="G74" s="1194" t="s">
        <v>130</v>
      </c>
      <c r="H74" s="1672"/>
    </row>
    <row r="75" spans="1:19" ht="16.899999999999999" customHeight="1" thickBot="1">
      <c r="B75" s="391" t="s">
        <v>83</v>
      </c>
      <c r="C75" s="344">
        <v>17</v>
      </c>
      <c r="D75" s="344">
        <v>25</v>
      </c>
      <c r="E75" s="344">
        <v>135</v>
      </c>
      <c r="F75" s="888">
        <f>C75*E75</f>
        <v>2295</v>
      </c>
      <c r="G75" s="888">
        <f>D75*E75</f>
        <v>3375</v>
      </c>
      <c r="H75" s="888">
        <f>F75+G75</f>
        <v>5670</v>
      </c>
      <c r="M75" s="720"/>
    </row>
    <row r="76" spans="1:19" ht="16.899999999999999" customHeight="1" thickBot="1">
      <c r="B76" s="391" t="s">
        <v>84</v>
      </c>
      <c r="C76" s="344"/>
      <c r="D76" s="344"/>
      <c r="E76" s="344">
        <v>90</v>
      </c>
      <c r="F76" s="888">
        <f>C76*E76</f>
        <v>0</v>
      </c>
      <c r="G76" s="888">
        <f t="shared" ref="G76:G77" si="3">D76*E76</f>
        <v>0</v>
      </c>
      <c r="H76" s="888">
        <f>SUM(F76:G76)</f>
        <v>0</v>
      </c>
      <c r="M76" s="720"/>
      <c r="S76" s="720"/>
    </row>
    <row r="77" spans="1:19" ht="16.899999999999999" customHeight="1" thickBot="1">
      <c r="B77" s="391" t="s">
        <v>85</v>
      </c>
      <c r="C77" s="344"/>
      <c r="D77" s="344"/>
      <c r="E77" s="344">
        <v>75</v>
      </c>
      <c r="F77" s="888">
        <f>C77*E77</f>
        <v>0</v>
      </c>
      <c r="G77" s="888">
        <f t="shared" si="3"/>
        <v>0</v>
      </c>
      <c r="H77" s="888">
        <f>SUM(F77:G77)</f>
        <v>0</v>
      </c>
      <c r="M77" s="720"/>
      <c r="S77" s="720"/>
    </row>
    <row r="78" spans="1:19" ht="16.899999999999999" customHeight="1" thickBot="1">
      <c r="B78" s="645" t="s">
        <v>38</v>
      </c>
      <c r="C78" s="885">
        <f>SUBTOTAL(9,C75:C77)</f>
        <v>17</v>
      </c>
      <c r="D78" s="885">
        <f>SUBTOTAL(9,D75:D77)</f>
        <v>25</v>
      </c>
      <c r="E78" s="886"/>
      <c r="F78" s="887">
        <f>SUM(F75:F77)</f>
        <v>2295</v>
      </c>
      <c r="G78" s="887">
        <f>SUM(G75:G77)</f>
        <v>3375</v>
      </c>
      <c r="H78" s="887">
        <f>SUM(H75:H77)</f>
        <v>5670</v>
      </c>
      <c r="M78" s="720"/>
      <c r="S78" s="720"/>
    </row>
    <row r="84" spans="1:15" s="434" customFormat="1" ht="16.149999999999999" customHeight="1">
      <c r="A84" s="671"/>
      <c r="C84" s="56"/>
      <c r="D84" s="1673" t="s">
        <v>1093</v>
      </c>
      <c r="E84" s="1673"/>
      <c r="F84" s="1673"/>
      <c r="G84" s="1673"/>
      <c r="H84" s="1673"/>
      <c r="I84" s="1673"/>
      <c r="J84" s="1673"/>
      <c r="K84" s="1673"/>
      <c r="L84" s="1673"/>
      <c r="M84" s="1673"/>
      <c r="N84" s="1673"/>
    </row>
    <row r="85" spans="1:15" s="434" customFormat="1" ht="7.15" customHeight="1" thickBot="1">
      <c r="A85" s="671"/>
      <c r="C85" s="56"/>
      <c r="D85" s="56"/>
      <c r="E85" s="56"/>
      <c r="F85" s="56"/>
      <c r="G85" s="56"/>
      <c r="H85" s="56"/>
      <c r="I85" s="56"/>
      <c r="J85" s="56"/>
      <c r="K85" s="56"/>
      <c r="L85" s="56"/>
      <c r="M85" s="56"/>
      <c r="N85" s="56"/>
    </row>
    <row r="86" spans="1:15" s="434" customFormat="1" ht="22.9" customHeight="1" thickBot="1">
      <c r="A86" s="671"/>
      <c r="D86" s="1669" t="s">
        <v>592</v>
      </c>
      <c r="E86" s="1670"/>
      <c r="F86" s="1671" t="s">
        <v>596</v>
      </c>
      <c r="G86" s="1669" t="s">
        <v>593</v>
      </c>
      <c r="H86" s="1670"/>
      <c r="I86" s="1671" t="s">
        <v>890</v>
      </c>
      <c r="J86" s="1669" t="s">
        <v>594</v>
      </c>
      <c r="K86" s="1670"/>
      <c r="L86" s="1671" t="s">
        <v>597</v>
      </c>
      <c r="M86" s="1669" t="s">
        <v>595</v>
      </c>
      <c r="N86" s="1670"/>
      <c r="O86" s="1674" t="s">
        <v>598</v>
      </c>
    </row>
    <row r="87" spans="1:15" ht="22.9" customHeight="1" thickBot="1">
      <c r="A87" s="191"/>
      <c r="C87" s="434"/>
      <c r="D87" s="424" t="s">
        <v>87</v>
      </c>
      <c r="E87" s="424" t="s">
        <v>130</v>
      </c>
      <c r="F87" s="1672"/>
      <c r="G87" s="424" t="s">
        <v>87</v>
      </c>
      <c r="H87" s="424" t="s">
        <v>130</v>
      </c>
      <c r="I87" s="1672"/>
      <c r="J87" s="424" t="s">
        <v>87</v>
      </c>
      <c r="K87" s="424" t="s">
        <v>130</v>
      </c>
      <c r="L87" s="1672"/>
      <c r="M87" s="424" t="s">
        <v>87</v>
      </c>
      <c r="N87" s="424" t="s">
        <v>130</v>
      </c>
      <c r="O87" s="1675"/>
    </row>
    <row r="88" spans="1:15" ht="22.9" customHeight="1" thickBot="1">
      <c r="A88" s="191"/>
      <c r="C88" s="487" t="s">
        <v>353</v>
      </c>
      <c r="D88" s="344">
        <v>180</v>
      </c>
      <c r="E88" s="344">
        <v>113</v>
      </c>
      <c r="F88" s="344">
        <f>SUM(D88:E88)</f>
        <v>293</v>
      </c>
      <c r="G88" s="344" t="s">
        <v>740</v>
      </c>
      <c r="H88" s="344" t="s">
        <v>740</v>
      </c>
      <c r="I88" s="344">
        <f t="shared" ref="I88" si="4">SUM(G88:H88)</f>
        <v>0</v>
      </c>
      <c r="J88" s="344">
        <v>51</v>
      </c>
      <c r="K88" s="344">
        <v>52</v>
      </c>
      <c r="L88" s="344">
        <f>SUM(J88:K88)</f>
        <v>103</v>
      </c>
      <c r="M88" s="344">
        <v>14</v>
      </c>
      <c r="N88" s="344">
        <v>17</v>
      </c>
      <c r="O88" s="344">
        <f>SUM(M88:N88)</f>
        <v>31</v>
      </c>
    </row>
    <row r="89" spans="1:15" ht="22.9" customHeight="1" thickBot="1">
      <c r="A89" s="191"/>
      <c r="C89" s="487" t="s">
        <v>354</v>
      </c>
      <c r="D89" s="344">
        <v>244</v>
      </c>
      <c r="E89" s="344">
        <v>79</v>
      </c>
      <c r="F89" s="344">
        <f>SUM(D89:E89)</f>
        <v>323</v>
      </c>
      <c r="G89" s="1460" t="s">
        <v>740</v>
      </c>
      <c r="H89" s="344">
        <v>20</v>
      </c>
      <c r="I89" s="344">
        <f t="shared" ref="I89" si="5">SUM(G89:H89)</f>
        <v>20</v>
      </c>
      <c r="J89" s="344">
        <v>23</v>
      </c>
      <c r="K89" s="344">
        <v>18</v>
      </c>
      <c r="L89" s="344">
        <f>SUM(J89:K89)</f>
        <v>41</v>
      </c>
      <c r="M89" s="344">
        <v>19</v>
      </c>
      <c r="N89" s="344">
        <v>5</v>
      </c>
      <c r="O89" s="344">
        <f>SUM(M89:N89)</f>
        <v>24</v>
      </c>
    </row>
    <row r="90" spans="1:15" ht="22.9" customHeight="1" thickBot="1">
      <c r="A90" s="191"/>
      <c r="C90" s="487" t="s">
        <v>355</v>
      </c>
      <c r="D90" s="344">
        <v>195</v>
      </c>
      <c r="E90" s="344">
        <v>78</v>
      </c>
      <c r="F90" s="344">
        <f>SUM(D90:E90)</f>
        <v>273</v>
      </c>
      <c r="G90" s="344" t="s">
        <v>740</v>
      </c>
      <c r="H90" s="344" t="s">
        <v>740</v>
      </c>
      <c r="I90" s="344">
        <f t="shared" ref="I90" si="6">SUM(G90:H90)</f>
        <v>0</v>
      </c>
      <c r="J90" s="344">
        <v>8</v>
      </c>
      <c r="K90" s="344">
        <v>10</v>
      </c>
      <c r="L90" s="344">
        <f>SUM(J90:K90)</f>
        <v>18</v>
      </c>
      <c r="M90" s="344">
        <v>8</v>
      </c>
      <c r="N90" s="344">
        <v>10</v>
      </c>
      <c r="O90" s="344">
        <f>SUM(M90:N90)</f>
        <v>18</v>
      </c>
    </row>
    <row r="91" spans="1:15" ht="22.9" customHeight="1" thickBot="1">
      <c r="A91" s="191"/>
      <c r="C91" s="433" t="s">
        <v>47</v>
      </c>
      <c r="D91" s="885">
        <f>SUM(D88:D90)</f>
        <v>619</v>
      </c>
      <c r="E91" s="885">
        <f>SUM(E88:E90)</f>
        <v>270</v>
      </c>
      <c r="F91" s="885">
        <f>SUM(F88:F90)</f>
        <v>889</v>
      </c>
      <c r="G91" s="885">
        <f t="shared" ref="G91:I91" si="7">SUM(G88:G90)</f>
        <v>0</v>
      </c>
      <c r="H91" s="885">
        <f t="shared" si="7"/>
        <v>20</v>
      </c>
      <c r="I91" s="885">
        <f t="shared" si="7"/>
        <v>20</v>
      </c>
      <c r="J91" s="885">
        <f t="shared" ref="J91:O91" si="8">SUM(J88:J90)</f>
        <v>82</v>
      </c>
      <c r="K91" s="885">
        <f t="shared" si="8"/>
        <v>80</v>
      </c>
      <c r="L91" s="885">
        <f t="shared" si="8"/>
        <v>162</v>
      </c>
      <c r="M91" s="885">
        <f t="shared" si="8"/>
        <v>41</v>
      </c>
      <c r="N91" s="885">
        <f>SUM(N88:N90)</f>
        <v>32</v>
      </c>
      <c r="O91" s="885">
        <f t="shared" si="8"/>
        <v>73</v>
      </c>
    </row>
    <row r="95" spans="1:15" s="434" customFormat="1" ht="16.149999999999999" customHeight="1">
      <c r="A95" s="671"/>
      <c r="C95" s="56"/>
      <c r="D95" s="1673" t="s">
        <v>889</v>
      </c>
      <c r="E95" s="1673"/>
      <c r="F95" s="1673"/>
      <c r="G95" s="1673"/>
      <c r="H95" s="1673"/>
      <c r="I95" s="1673"/>
      <c r="J95" s="1673"/>
      <c r="K95" s="1673"/>
      <c r="L95" s="1673"/>
      <c r="M95" s="1673"/>
      <c r="N95" s="1673"/>
    </row>
    <row r="96" spans="1:15" s="434" customFormat="1" ht="7.15" customHeight="1" thickBot="1">
      <c r="A96" s="671"/>
      <c r="C96" s="56"/>
      <c r="D96" s="56"/>
      <c r="E96" s="56"/>
      <c r="F96" s="56"/>
      <c r="G96" s="56"/>
      <c r="H96" s="56"/>
      <c r="I96" s="56"/>
      <c r="J96" s="56"/>
      <c r="K96" s="56"/>
      <c r="L96" s="56"/>
      <c r="M96" s="56"/>
      <c r="N96" s="56"/>
    </row>
    <row r="97" spans="1:15" s="434" customFormat="1" ht="22.9" customHeight="1" thickBot="1">
      <c r="A97" s="671"/>
      <c r="D97" s="1669" t="s">
        <v>592</v>
      </c>
      <c r="E97" s="1670"/>
      <c r="F97" s="1671" t="s">
        <v>596</v>
      </c>
      <c r="G97" s="1669" t="s">
        <v>593</v>
      </c>
      <c r="H97" s="1670"/>
      <c r="I97" s="1671" t="s">
        <v>890</v>
      </c>
      <c r="J97" s="1669" t="s">
        <v>594</v>
      </c>
      <c r="K97" s="1670"/>
      <c r="L97" s="1671" t="s">
        <v>597</v>
      </c>
      <c r="M97" s="1669" t="s">
        <v>595</v>
      </c>
      <c r="N97" s="1670"/>
      <c r="O97" s="1674" t="s">
        <v>598</v>
      </c>
    </row>
    <row r="98" spans="1:15" ht="22.9" customHeight="1" thickBot="1">
      <c r="A98" s="191"/>
      <c r="C98" s="434"/>
      <c r="D98" s="424" t="s">
        <v>87</v>
      </c>
      <c r="E98" s="424" t="s">
        <v>130</v>
      </c>
      <c r="F98" s="1672"/>
      <c r="G98" s="424" t="s">
        <v>87</v>
      </c>
      <c r="H98" s="424" t="s">
        <v>130</v>
      </c>
      <c r="I98" s="1672"/>
      <c r="J98" s="424" t="s">
        <v>87</v>
      </c>
      <c r="K98" s="424" t="s">
        <v>130</v>
      </c>
      <c r="L98" s="1672"/>
      <c r="M98" s="424" t="s">
        <v>87</v>
      </c>
      <c r="N98" s="424" t="s">
        <v>130</v>
      </c>
      <c r="O98" s="1675"/>
    </row>
    <row r="99" spans="1:15" ht="22.9" customHeight="1" thickBot="1">
      <c r="A99" s="191"/>
      <c r="C99" s="487" t="s">
        <v>353</v>
      </c>
      <c r="D99" s="344">
        <v>206</v>
      </c>
      <c r="E99" s="344">
        <v>180</v>
      </c>
      <c r="F99" s="344">
        <f>SUM(D99:E99)</f>
        <v>386</v>
      </c>
      <c r="G99" s="344" t="s">
        <v>740</v>
      </c>
      <c r="H99" s="344" t="s">
        <v>740</v>
      </c>
      <c r="I99" s="344">
        <f t="shared" ref="I99:I101" si="9">SUM(G99:H99)</f>
        <v>0</v>
      </c>
      <c r="J99" s="344">
        <v>29</v>
      </c>
      <c r="K99" s="344">
        <v>72</v>
      </c>
      <c r="L99" s="344">
        <f>SUM(J99:K99)</f>
        <v>101</v>
      </c>
      <c r="M99" s="344">
        <v>15</v>
      </c>
      <c r="N99" s="344">
        <v>11</v>
      </c>
      <c r="O99" s="344">
        <f>SUM(M99:N99)</f>
        <v>26</v>
      </c>
    </row>
    <row r="100" spans="1:15" ht="22.9" customHeight="1" thickBot="1">
      <c r="A100" s="191"/>
      <c r="C100" s="487" t="s">
        <v>354</v>
      </c>
      <c r="D100" s="344">
        <v>259</v>
      </c>
      <c r="E100" s="344">
        <v>80</v>
      </c>
      <c r="F100" s="344">
        <f>SUM(D100:E100)</f>
        <v>339</v>
      </c>
      <c r="G100" s="344">
        <v>10</v>
      </c>
      <c r="H100" s="344" t="s">
        <v>740</v>
      </c>
      <c r="I100" s="344">
        <f t="shared" si="9"/>
        <v>10</v>
      </c>
      <c r="J100" s="344">
        <v>34</v>
      </c>
      <c r="K100" s="344">
        <v>2</v>
      </c>
      <c r="L100" s="344">
        <f>SUM(J100:K100)</f>
        <v>36</v>
      </c>
      <c r="M100" s="344">
        <v>5</v>
      </c>
      <c r="N100" s="344">
        <v>2</v>
      </c>
      <c r="O100" s="344">
        <f>SUM(M100:N100)</f>
        <v>7</v>
      </c>
    </row>
    <row r="101" spans="1:15" ht="22.9" customHeight="1" thickBot="1">
      <c r="A101" s="191"/>
      <c r="C101" s="487" t="s">
        <v>355</v>
      </c>
      <c r="D101" s="344">
        <v>211</v>
      </c>
      <c r="E101" s="344">
        <v>150</v>
      </c>
      <c r="F101" s="344">
        <f>SUM(D101:E101)</f>
        <v>361</v>
      </c>
      <c r="G101" s="344" t="s">
        <v>740</v>
      </c>
      <c r="H101" s="344" t="s">
        <v>740</v>
      </c>
      <c r="I101" s="344">
        <f t="shared" si="9"/>
        <v>0</v>
      </c>
      <c r="J101" s="344">
        <v>28</v>
      </c>
      <c r="K101" s="344">
        <v>14</v>
      </c>
      <c r="L101" s="344">
        <f>SUM(J101:K101)</f>
        <v>42</v>
      </c>
      <c r="M101" s="344">
        <v>34</v>
      </c>
      <c r="N101" s="344">
        <v>6</v>
      </c>
      <c r="O101" s="344">
        <f>SUM(M101:N101)</f>
        <v>40</v>
      </c>
    </row>
    <row r="102" spans="1:15" ht="22.9" customHeight="1" thickBot="1">
      <c r="A102" s="191"/>
      <c r="C102" s="433" t="s">
        <v>47</v>
      </c>
      <c r="D102" s="885">
        <f>SUM(D99:D101)</f>
        <v>676</v>
      </c>
      <c r="E102" s="885">
        <f>SUM(E99:E101)</f>
        <v>410</v>
      </c>
      <c r="F102" s="885">
        <f>SUM(F99:F101)</f>
        <v>1086</v>
      </c>
      <c r="G102" s="885" t="s">
        <v>740</v>
      </c>
      <c r="H102" s="885" t="s">
        <v>740</v>
      </c>
      <c r="I102" s="885">
        <f t="shared" ref="I102" si="10">SUM(I99:I101)</f>
        <v>10</v>
      </c>
      <c r="J102" s="885">
        <f t="shared" ref="J102:M102" si="11">SUM(J99:J101)</f>
        <v>91</v>
      </c>
      <c r="K102" s="885">
        <f t="shared" si="11"/>
        <v>88</v>
      </c>
      <c r="L102" s="885">
        <f t="shared" si="11"/>
        <v>179</v>
      </c>
      <c r="M102" s="885">
        <f t="shared" si="11"/>
        <v>54</v>
      </c>
      <c r="N102" s="885">
        <f>SUM(N99:N101)</f>
        <v>19</v>
      </c>
      <c r="O102" s="885">
        <f t="shared" ref="O102" si="12">SUM(O99:O101)</f>
        <v>73</v>
      </c>
    </row>
    <row r="105" spans="1:15" s="434" customFormat="1" ht="16.149999999999999" customHeight="1">
      <c r="A105" s="671"/>
      <c r="C105" s="56"/>
      <c r="D105" s="1673" t="s">
        <v>843</v>
      </c>
      <c r="E105" s="1673"/>
      <c r="F105" s="1673"/>
      <c r="G105" s="1673"/>
      <c r="H105" s="1673"/>
      <c r="I105" s="1673"/>
      <c r="J105" s="1673"/>
      <c r="K105" s="1673"/>
      <c r="L105" s="1673"/>
      <c r="M105" s="1673"/>
      <c r="N105" s="1673"/>
    </row>
    <row r="106" spans="1:15" s="434" customFormat="1" ht="7.15" customHeight="1" thickBot="1">
      <c r="A106" s="671"/>
      <c r="C106" s="56"/>
      <c r="D106" s="56"/>
      <c r="E106" s="56"/>
      <c r="F106" s="56"/>
      <c r="G106" s="56"/>
      <c r="H106" s="56"/>
      <c r="I106" s="56"/>
      <c r="J106" s="56"/>
      <c r="K106" s="56"/>
      <c r="L106" s="56"/>
      <c r="M106" s="56"/>
      <c r="N106" s="56"/>
    </row>
    <row r="107" spans="1:15" s="434" customFormat="1" ht="22.9" customHeight="1" thickBot="1">
      <c r="A107" s="671"/>
      <c r="D107" s="1669" t="s">
        <v>592</v>
      </c>
      <c r="E107" s="1670"/>
      <c r="F107" s="1671" t="s">
        <v>596</v>
      </c>
      <c r="G107" s="1669" t="s">
        <v>593</v>
      </c>
      <c r="H107" s="1670"/>
      <c r="I107" s="1669" t="s">
        <v>594</v>
      </c>
      <c r="J107" s="1670"/>
      <c r="K107" s="1671" t="s">
        <v>597</v>
      </c>
      <c r="L107" s="1669" t="s">
        <v>595</v>
      </c>
      <c r="M107" s="1670"/>
      <c r="N107" s="1674" t="s">
        <v>598</v>
      </c>
    </row>
    <row r="108" spans="1:15" ht="22.9" customHeight="1" thickBot="1">
      <c r="A108" s="191"/>
      <c r="C108" s="434"/>
      <c r="D108" s="424" t="s">
        <v>87</v>
      </c>
      <c r="E108" s="424" t="s">
        <v>130</v>
      </c>
      <c r="F108" s="1672"/>
      <c r="G108" s="424" t="s">
        <v>87</v>
      </c>
      <c r="H108" s="424" t="s">
        <v>130</v>
      </c>
      <c r="I108" s="424" t="s">
        <v>87</v>
      </c>
      <c r="J108" s="424" t="s">
        <v>130</v>
      </c>
      <c r="K108" s="1672"/>
      <c r="L108" s="424" t="s">
        <v>87</v>
      </c>
      <c r="M108" s="424" t="s">
        <v>130</v>
      </c>
      <c r="N108" s="1675"/>
    </row>
    <row r="109" spans="1:15" ht="22.9" customHeight="1" thickBot="1">
      <c r="A109" s="191"/>
      <c r="C109" s="487" t="s">
        <v>353</v>
      </c>
      <c r="D109" s="344">
        <v>281</v>
      </c>
      <c r="E109" s="344">
        <v>226</v>
      </c>
      <c r="F109" s="344">
        <f>SUM(D109:E109)</f>
        <v>507</v>
      </c>
      <c r="G109" s="344" t="s">
        <v>740</v>
      </c>
      <c r="H109" s="344" t="s">
        <v>740</v>
      </c>
      <c r="I109" s="344">
        <v>17</v>
      </c>
      <c r="J109" s="344">
        <v>25</v>
      </c>
      <c r="K109" s="344">
        <f>SUM(I109:J109)</f>
        <v>42</v>
      </c>
      <c r="L109" s="344">
        <v>2</v>
      </c>
      <c r="M109" s="344">
        <v>8</v>
      </c>
      <c r="N109" s="344">
        <f>SUM(L109:M109)</f>
        <v>10</v>
      </c>
    </row>
    <row r="110" spans="1:15" ht="22.9" customHeight="1" thickBot="1">
      <c r="A110" s="191"/>
      <c r="C110" s="487" t="s">
        <v>354</v>
      </c>
      <c r="D110" s="344">
        <v>209</v>
      </c>
      <c r="E110" s="344">
        <v>100</v>
      </c>
      <c r="F110" s="344">
        <f>SUM(D110:E110)</f>
        <v>309</v>
      </c>
      <c r="G110" s="344" t="s">
        <v>740</v>
      </c>
      <c r="H110" s="344" t="s">
        <v>740</v>
      </c>
      <c r="I110" s="344" t="s">
        <v>740</v>
      </c>
      <c r="J110" s="344">
        <v>3</v>
      </c>
      <c r="K110" s="344">
        <f>SUM(I110:J110)</f>
        <v>3</v>
      </c>
      <c r="L110" s="344">
        <v>1</v>
      </c>
      <c r="M110" s="344" t="s">
        <v>740</v>
      </c>
      <c r="N110" s="344">
        <f>SUM(L110:M110)</f>
        <v>1</v>
      </c>
    </row>
    <row r="111" spans="1:15" ht="22.9" customHeight="1" thickBot="1">
      <c r="A111" s="191"/>
      <c r="C111" s="487" t="s">
        <v>355</v>
      </c>
      <c r="D111" s="344">
        <v>218</v>
      </c>
      <c r="E111" s="344">
        <v>91</v>
      </c>
      <c r="F111" s="344">
        <f>SUM(D111:E111)</f>
        <v>309</v>
      </c>
      <c r="G111" s="344" t="s">
        <v>740</v>
      </c>
      <c r="H111" s="344" t="s">
        <v>740</v>
      </c>
      <c r="I111" s="344" t="s">
        <v>740</v>
      </c>
      <c r="J111" s="344" t="s">
        <v>740</v>
      </c>
      <c r="K111" s="344">
        <f>SUM(I111:J111)</f>
        <v>0</v>
      </c>
      <c r="L111" s="344">
        <v>9</v>
      </c>
      <c r="M111" s="344">
        <v>1</v>
      </c>
      <c r="N111" s="344">
        <f>SUM(L111:M111)</f>
        <v>10</v>
      </c>
    </row>
    <row r="112" spans="1:15" ht="22.9" customHeight="1" thickBot="1">
      <c r="A112" s="191"/>
      <c r="C112" s="433" t="s">
        <v>47</v>
      </c>
      <c r="D112" s="885">
        <f>SUM(D109:D111)</f>
        <v>708</v>
      </c>
      <c r="E112" s="885">
        <f>SUM(E109:E111)</f>
        <v>417</v>
      </c>
      <c r="F112" s="885">
        <f>SUM(F109:F111)</f>
        <v>1125</v>
      </c>
      <c r="G112" s="885" t="s">
        <v>740</v>
      </c>
      <c r="H112" s="885" t="s">
        <v>740</v>
      </c>
      <c r="I112" s="885">
        <f t="shared" ref="I112:L112" si="13">SUM(I109:I111)</f>
        <v>17</v>
      </c>
      <c r="J112" s="885">
        <f t="shared" si="13"/>
        <v>28</v>
      </c>
      <c r="K112" s="885">
        <f t="shared" si="13"/>
        <v>45</v>
      </c>
      <c r="L112" s="885">
        <f t="shared" si="13"/>
        <v>12</v>
      </c>
      <c r="M112" s="885">
        <f>SUM(M109:M111)</f>
        <v>9</v>
      </c>
      <c r="N112" s="885">
        <f t="shared" ref="N112" si="14">SUM(N109:N111)</f>
        <v>21</v>
      </c>
    </row>
    <row r="129" spans="1:2" ht="21">
      <c r="A129" s="174"/>
    </row>
    <row r="131" spans="1:2" ht="15.75">
      <c r="A131" s="155"/>
    </row>
    <row r="134" spans="1:2">
      <c r="B134" s="166"/>
    </row>
    <row r="135" spans="1:2">
      <c r="B135" s="166"/>
    </row>
    <row r="139" spans="1:2" ht="15.75">
      <c r="A139" s="155"/>
    </row>
    <row r="145" spans="2:5">
      <c r="B145"/>
      <c r="C145"/>
      <c r="D145"/>
      <c r="E145"/>
    </row>
    <row r="146" spans="2:5">
      <c r="B146"/>
      <c r="C146"/>
      <c r="D146"/>
      <c r="E146"/>
    </row>
    <row r="147" spans="2:5">
      <c r="B147"/>
      <c r="C147"/>
      <c r="D147"/>
      <c r="E147"/>
    </row>
    <row r="148" spans="2:5">
      <c r="B148" s="178"/>
      <c r="C148" s="178"/>
      <c r="D148" s="178"/>
      <c r="E148"/>
    </row>
    <row r="149" spans="2:5">
      <c r="B149" s="178"/>
      <c r="C149" s="178"/>
      <c r="D149" s="178"/>
      <c r="E149"/>
    </row>
  </sheetData>
  <mergeCells count="41">
    <mergeCell ref="O86:O87"/>
    <mergeCell ref="M86:N86"/>
    <mergeCell ref="J86:K86"/>
    <mergeCell ref="C58:H58"/>
    <mergeCell ref="C60:D60"/>
    <mergeCell ref="E60:E61"/>
    <mergeCell ref="C46:H46"/>
    <mergeCell ref="D84:N84"/>
    <mergeCell ref="C48:D48"/>
    <mergeCell ref="E48:E49"/>
    <mergeCell ref="H48:H49"/>
    <mergeCell ref="F48:G48"/>
    <mergeCell ref="L107:M107"/>
    <mergeCell ref="N107:N108"/>
    <mergeCell ref="O97:O98"/>
    <mergeCell ref="F60:G60"/>
    <mergeCell ref="H60:H61"/>
    <mergeCell ref="C71:H71"/>
    <mergeCell ref="C73:D73"/>
    <mergeCell ref="E73:E74"/>
    <mergeCell ref="F73:G73"/>
    <mergeCell ref="H73:H74"/>
    <mergeCell ref="D86:E86"/>
    <mergeCell ref="F86:F87"/>
    <mergeCell ref="G86:H86"/>
    <mergeCell ref="L86:L87"/>
    <mergeCell ref="I86:I87"/>
    <mergeCell ref="D95:N95"/>
    <mergeCell ref="D107:E107"/>
    <mergeCell ref="F107:F108"/>
    <mergeCell ref="G107:H107"/>
    <mergeCell ref="I107:J107"/>
    <mergeCell ref="K107:K108"/>
    <mergeCell ref="G97:H97"/>
    <mergeCell ref="J97:K97"/>
    <mergeCell ref="L97:L98"/>
    <mergeCell ref="M97:N97"/>
    <mergeCell ref="D105:N105"/>
    <mergeCell ref="D97:E97"/>
    <mergeCell ref="F97:F98"/>
    <mergeCell ref="I97:I98"/>
  </mergeCells>
  <pageMargins left="0.11811023622047245" right="0.11811023622047245" top="0.35433070866141736" bottom="0.35433070866141736" header="0.31496062992125984" footer="0.31496062992125984"/>
  <pageSetup paperSize="9" scale="92" orientation="landscape" r:id="rId1"/>
  <rowBreaks count="1" manualBreakCount="1">
    <brk id="42" max="16383"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sheetPr>
  <dimension ref="A1:V43"/>
  <sheetViews>
    <sheetView showGridLines="0" view="pageBreakPreview" zoomScaleNormal="100" zoomScaleSheetLayoutView="100" workbookViewId="0">
      <selection activeCell="F11" sqref="F11"/>
    </sheetView>
  </sheetViews>
  <sheetFormatPr baseColWidth="10" defaultColWidth="12" defaultRowHeight="11.25"/>
  <cols>
    <col min="1" max="1" width="4.1640625" style="56" customWidth="1"/>
    <col min="2" max="2" width="15.5" style="56" customWidth="1"/>
    <col min="3" max="5" width="9.33203125" style="56" customWidth="1"/>
    <col min="6" max="6" width="5.33203125" style="56" customWidth="1"/>
    <col min="7" max="8" width="15.5" style="56" customWidth="1"/>
    <col min="9" max="11" width="9.33203125" style="56" customWidth="1"/>
    <col min="12" max="12" width="14.1640625" style="56" customWidth="1"/>
    <col min="13" max="13" width="15.5" style="56" customWidth="1"/>
    <col min="14" max="16" width="9.33203125" style="56" customWidth="1"/>
    <col min="17" max="17" width="15.33203125" style="56" customWidth="1"/>
    <col min="18" max="18" width="11.6640625" style="56" customWidth="1"/>
    <col min="19" max="16384" width="12" style="56"/>
  </cols>
  <sheetData>
    <row r="1" spans="1:21" ht="18.75">
      <c r="A1" s="230" t="s">
        <v>665</v>
      </c>
    </row>
    <row r="2" spans="1:21" ht="4.9000000000000004" customHeight="1"/>
    <row r="3" spans="1:21" ht="15.75">
      <c r="A3" s="155" t="s">
        <v>159</v>
      </c>
    </row>
    <row r="4" spans="1:21" ht="12">
      <c r="Q4" s="260"/>
    </row>
    <row r="5" spans="1:21" ht="12.75">
      <c r="E5" s="192"/>
      <c r="G5" s="192"/>
      <c r="K5" s="192"/>
      <c r="P5" s="192"/>
      <c r="T5" s="154"/>
      <c r="U5" s="414"/>
    </row>
    <row r="6" spans="1:21">
      <c r="C6" s="454"/>
      <c r="D6" s="56">
        <v>2020</v>
      </c>
      <c r="E6" s="56">
        <v>2021</v>
      </c>
      <c r="F6" s="56">
        <v>2022</v>
      </c>
      <c r="I6" s="454"/>
      <c r="N6" s="454"/>
      <c r="T6" s="154"/>
      <c r="U6" s="414"/>
    </row>
    <row r="8" spans="1:21">
      <c r="C8" s="454" t="s">
        <v>599</v>
      </c>
      <c r="F8" s="56">
        <v>248</v>
      </c>
      <c r="I8" s="454"/>
      <c r="N8" s="454"/>
    </row>
    <row r="9" spans="1:21">
      <c r="C9" s="454" t="s">
        <v>464</v>
      </c>
      <c r="D9" s="56">
        <v>505</v>
      </c>
      <c r="E9" s="56">
        <v>638</v>
      </c>
      <c r="F9" s="56">
        <v>391</v>
      </c>
      <c r="I9" s="454"/>
      <c r="N9" s="454"/>
    </row>
    <row r="10" spans="1:21">
      <c r="B10" s="69"/>
      <c r="C10" s="454" t="s">
        <v>463</v>
      </c>
      <c r="D10" s="56">
        <v>352</v>
      </c>
      <c r="E10" s="56">
        <v>1148</v>
      </c>
      <c r="F10" s="56">
        <v>956</v>
      </c>
      <c r="H10" s="69"/>
      <c r="I10" s="454"/>
      <c r="M10" s="69"/>
      <c r="N10" s="454"/>
    </row>
    <row r="11" spans="1:21">
      <c r="B11" s="58"/>
      <c r="C11" s="454" t="s">
        <v>165</v>
      </c>
      <c r="D11" s="56">
        <v>1007</v>
      </c>
      <c r="E11" s="56">
        <v>856</v>
      </c>
      <c r="F11" s="56">
        <v>551</v>
      </c>
      <c r="H11" s="58"/>
      <c r="I11" s="454"/>
      <c r="M11" s="58"/>
      <c r="N11" s="454"/>
    </row>
    <row r="12" spans="1:21">
      <c r="C12" s="454" t="s">
        <v>164</v>
      </c>
      <c r="D12" s="56">
        <v>3100</v>
      </c>
      <c r="E12" s="56">
        <v>2176</v>
      </c>
      <c r="F12" s="56">
        <v>1412</v>
      </c>
      <c r="I12" s="454"/>
      <c r="N12" s="454"/>
    </row>
    <row r="13" spans="1:21">
      <c r="C13" s="454" t="s">
        <v>163</v>
      </c>
      <c r="D13" s="56">
        <v>6317</v>
      </c>
      <c r="E13" s="56">
        <v>6897</v>
      </c>
      <c r="F13" s="56">
        <v>8884</v>
      </c>
      <c r="I13" s="454"/>
      <c r="N13" s="454"/>
    </row>
    <row r="24" spans="2:22">
      <c r="O24" s="56">
        <f>F13</f>
        <v>8884</v>
      </c>
    </row>
    <row r="25" spans="2:22">
      <c r="O25" s="190">
        <f>O24/365</f>
        <v>24.339726027397262</v>
      </c>
    </row>
    <row r="26" spans="2:22" ht="12">
      <c r="S26" s="673"/>
      <c r="T26" s="673"/>
      <c r="U26" s="673"/>
      <c r="V26" s="673"/>
    </row>
    <row r="27" spans="2:22" ht="12">
      <c r="S27" s="673"/>
      <c r="T27" s="673"/>
      <c r="U27" s="673"/>
      <c r="V27" s="673"/>
    </row>
    <row r="28" spans="2:22" ht="12">
      <c r="S28" s="593"/>
      <c r="T28" s="594"/>
      <c r="U28" s="594"/>
      <c r="V28" s="594"/>
    </row>
    <row r="29" spans="2:22" ht="12">
      <c r="D29" s="454"/>
      <c r="J29" s="454"/>
      <c r="O29" s="454"/>
      <c r="S29" s="593"/>
      <c r="T29" s="594"/>
      <c r="U29" s="594"/>
      <c r="V29" s="594"/>
    </row>
    <row r="30" spans="2:22" ht="12">
      <c r="S30" s="593"/>
      <c r="T30" s="594"/>
      <c r="U30" s="594"/>
      <c r="V30" s="594"/>
    </row>
    <row r="31" spans="2:22" ht="12">
      <c r="C31" s="292"/>
      <c r="D31" s="292"/>
      <c r="E31" s="292"/>
      <c r="H31" s="292"/>
      <c r="I31" s="292"/>
      <c r="J31" s="292"/>
      <c r="K31" s="292"/>
      <c r="M31" s="292"/>
      <c r="N31" s="292"/>
      <c r="O31" s="292"/>
      <c r="P31" s="292"/>
    </row>
    <row r="32" spans="2:22" ht="12">
      <c r="B32" s="775"/>
      <c r="C32" s="775"/>
      <c r="D32" s="775"/>
      <c r="E32" s="775"/>
      <c r="F32" s="775"/>
      <c r="G32" s="775"/>
      <c r="H32" s="775"/>
      <c r="I32" s="775"/>
      <c r="J32" s="775"/>
      <c r="K32" s="775"/>
      <c r="L32" s="775"/>
      <c r="M32" s="775"/>
      <c r="N32" s="775"/>
      <c r="O32" s="775"/>
      <c r="P32" s="775"/>
    </row>
    <row r="34" spans="2:16" ht="12">
      <c r="B34" s="1056" t="s">
        <v>700</v>
      </c>
      <c r="C34" s="1057"/>
      <c r="D34" s="1057"/>
      <c r="E34" s="1057"/>
      <c r="H34" s="1056" t="s">
        <v>701</v>
      </c>
      <c r="I34" s="1057"/>
      <c r="J34" s="1057"/>
      <c r="K34" s="1057"/>
      <c r="M34" s="1056" t="s">
        <v>702</v>
      </c>
      <c r="N34" s="1057"/>
      <c r="O34" s="1057"/>
      <c r="P34" s="1057"/>
    </row>
    <row r="35" spans="2:16" ht="12" thickBot="1"/>
    <row r="36" spans="2:16" ht="12.75" thickBot="1">
      <c r="M36" s="776"/>
      <c r="N36" s="819">
        <v>2020</v>
      </c>
      <c r="O36" s="819">
        <v>2021</v>
      </c>
      <c r="P36" s="1434">
        <v>2022</v>
      </c>
    </row>
    <row r="37" spans="2:16" ht="12.75" thickBot="1">
      <c r="B37" s="776"/>
      <c r="C37" s="819">
        <v>2020</v>
      </c>
      <c r="D37" s="819">
        <v>2021</v>
      </c>
      <c r="E37" s="1434">
        <v>2022</v>
      </c>
      <c r="H37" s="776"/>
      <c r="I37" s="819">
        <v>2020</v>
      </c>
      <c r="J37" s="819">
        <v>2021</v>
      </c>
      <c r="K37" s="1434">
        <v>2022</v>
      </c>
      <c r="M37" s="817" t="s">
        <v>829</v>
      </c>
      <c r="N37" s="818">
        <v>7</v>
      </c>
      <c r="O37" s="818">
        <v>5</v>
      </c>
      <c r="P37" s="1435">
        <v>18</v>
      </c>
    </row>
    <row r="38" spans="2:16" ht="12.75" thickBot="1">
      <c r="B38" s="817" t="s">
        <v>696</v>
      </c>
      <c r="C38" s="818">
        <v>13</v>
      </c>
      <c r="D38" s="818">
        <v>8</v>
      </c>
      <c r="E38" s="1435">
        <v>10</v>
      </c>
      <c r="H38" s="817" t="s">
        <v>698</v>
      </c>
      <c r="I38" s="818">
        <v>3</v>
      </c>
      <c r="J38" s="818">
        <v>6</v>
      </c>
      <c r="K38" s="1435">
        <v>2</v>
      </c>
      <c r="M38" s="817" t="s">
        <v>699</v>
      </c>
      <c r="N38" s="818">
        <v>6</v>
      </c>
      <c r="O38" s="818">
        <v>20</v>
      </c>
      <c r="P38" s="1435">
        <v>12</v>
      </c>
    </row>
    <row r="39" spans="2:16" ht="12.75" thickBot="1">
      <c r="B39" s="817" t="s">
        <v>87</v>
      </c>
      <c r="C39" s="818">
        <v>10</v>
      </c>
      <c r="D39" s="818">
        <v>3</v>
      </c>
      <c r="E39" s="1435">
        <v>8</v>
      </c>
      <c r="H39" s="817" t="s">
        <v>87</v>
      </c>
      <c r="I39" s="818">
        <v>2</v>
      </c>
      <c r="J39" s="818">
        <v>5</v>
      </c>
      <c r="K39" s="1435">
        <v>2</v>
      </c>
      <c r="M39" s="817" t="s">
        <v>87</v>
      </c>
      <c r="N39" s="818">
        <v>7</v>
      </c>
      <c r="O39" s="818">
        <v>10</v>
      </c>
      <c r="P39" s="1435">
        <v>20</v>
      </c>
    </row>
    <row r="40" spans="2:16" ht="12.75" thickBot="1">
      <c r="B40" s="817" t="s">
        <v>130</v>
      </c>
      <c r="C40" s="818">
        <v>3</v>
      </c>
      <c r="D40" s="818">
        <v>5</v>
      </c>
      <c r="E40" s="1435">
        <v>2</v>
      </c>
      <c r="H40" s="817" t="s">
        <v>130</v>
      </c>
      <c r="I40" s="818">
        <v>1</v>
      </c>
      <c r="J40" s="818">
        <v>1</v>
      </c>
      <c r="K40" s="1435"/>
      <c r="M40" s="817" t="s">
        <v>130</v>
      </c>
      <c r="N40" s="818">
        <v>6</v>
      </c>
      <c r="O40" s="818">
        <v>15</v>
      </c>
      <c r="P40" s="1435">
        <v>10</v>
      </c>
    </row>
    <row r="41" spans="2:16" ht="12.75" thickBot="1">
      <c r="B41" s="817" t="s">
        <v>123</v>
      </c>
      <c r="C41" s="818">
        <v>3</v>
      </c>
      <c r="D41" s="818">
        <v>3</v>
      </c>
      <c r="E41" s="1435">
        <v>4</v>
      </c>
      <c r="H41" s="817" t="s">
        <v>123</v>
      </c>
      <c r="I41" s="818"/>
      <c r="J41" s="818">
        <v>4</v>
      </c>
      <c r="K41" s="1435">
        <v>1</v>
      </c>
      <c r="M41" s="817" t="s">
        <v>123</v>
      </c>
      <c r="N41" s="818">
        <v>3</v>
      </c>
      <c r="O41" s="818">
        <v>9</v>
      </c>
      <c r="P41" s="1435">
        <v>4</v>
      </c>
    </row>
    <row r="42" spans="2:16" ht="12.75" thickBot="1">
      <c r="B42" s="817" t="s">
        <v>440</v>
      </c>
      <c r="C42" s="818">
        <v>10</v>
      </c>
      <c r="D42" s="818">
        <v>5</v>
      </c>
      <c r="E42" s="1435">
        <v>6</v>
      </c>
      <c r="H42" s="817" t="s">
        <v>440</v>
      </c>
      <c r="I42" s="818">
        <v>3</v>
      </c>
      <c r="J42" s="818">
        <v>2</v>
      </c>
      <c r="K42" s="1435">
        <v>1</v>
      </c>
      <c r="M42" s="817" t="s">
        <v>440</v>
      </c>
      <c r="N42" s="818">
        <v>10</v>
      </c>
      <c r="O42" s="818">
        <v>16</v>
      </c>
      <c r="P42" s="1435">
        <v>26</v>
      </c>
    </row>
    <row r="43" spans="2:16" ht="12.75" thickBot="1">
      <c r="B43" s="817" t="s">
        <v>697</v>
      </c>
      <c r="C43" s="818" t="s">
        <v>831</v>
      </c>
      <c r="D43" s="818" t="s">
        <v>886</v>
      </c>
      <c r="E43" s="1435" t="s">
        <v>1071</v>
      </c>
      <c r="H43" s="817" t="s">
        <v>697</v>
      </c>
      <c r="I43" s="818" t="s">
        <v>830</v>
      </c>
      <c r="J43" s="818" t="s">
        <v>887</v>
      </c>
      <c r="K43" s="1435">
        <v>276</v>
      </c>
      <c r="M43" s="817" t="s">
        <v>697</v>
      </c>
      <c r="N43" s="818" t="s">
        <v>861</v>
      </c>
      <c r="O43" s="818" t="s">
        <v>885</v>
      </c>
      <c r="P43" s="1435" t="s">
        <v>1072</v>
      </c>
    </row>
  </sheetData>
  <pageMargins left="0.11811023622047245" right="0.11811023622047245" top="0.35433070866141736" bottom="0.35433070866141736" header="0.31496062992125984" footer="0.31496062992125984"/>
  <pageSetup paperSize="9" scale="95"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sheetPr>
  <dimension ref="A2:V27"/>
  <sheetViews>
    <sheetView showGridLines="0" zoomScaleNormal="100" zoomScaleSheetLayoutView="100" workbookViewId="0">
      <selection activeCell="B13" sqref="B13"/>
    </sheetView>
  </sheetViews>
  <sheetFormatPr baseColWidth="10" defaultColWidth="12" defaultRowHeight="11.25"/>
  <cols>
    <col min="1" max="1" width="16.6640625" style="56" bestFit="1" customWidth="1"/>
    <col min="2" max="2" width="6" style="56" bestFit="1" customWidth="1"/>
    <col min="3" max="3" width="5.6640625" style="56" customWidth="1"/>
    <col min="4" max="4" width="6" style="56" bestFit="1" customWidth="1"/>
    <col min="5" max="5" width="5.6640625" style="56" bestFit="1" customWidth="1"/>
    <col min="6" max="6" width="6" style="56" bestFit="1" customWidth="1"/>
    <col min="7" max="7" width="5.6640625" style="56" bestFit="1" customWidth="1"/>
    <col min="8" max="8" width="1.33203125" style="56" customWidth="1"/>
    <col min="9" max="9" width="6" style="56" bestFit="1" customWidth="1"/>
    <col min="10" max="10" width="5.6640625" style="56" bestFit="1" customWidth="1"/>
    <col min="11" max="11" width="6" style="56" bestFit="1" customWidth="1"/>
    <col min="12" max="12" width="5.6640625" style="56" bestFit="1" customWidth="1"/>
    <col min="13" max="13" width="6" style="56" bestFit="1" customWidth="1"/>
    <col min="14" max="14" width="5.6640625" style="56" bestFit="1" customWidth="1"/>
    <col min="15" max="15" width="1.33203125" style="56" customWidth="1"/>
    <col min="16" max="16" width="6" style="56" bestFit="1" customWidth="1"/>
    <col min="17" max="17" width="5.6640625" style="56" customWidth="1"/>
    <col min="18" max="18" width="6.5" style="56" bestFit="1" customWidth="1"/>
    <col min="19" max="19" width="6.1640625" style="56" customWidth="1"/>
    <col min="20" max="20" width="6.5" style="56" bestFit="1" customWidth="1"/>
    <col min="21" max="21" width="6.6640625" style="56" customWidth="1"/>
    <col min="22" max="16384" width="12" style="56"/>
  </cols>
  <sheetData>
    <row r="2" spans="1:22" ht="15">
      <c r="B2" s="1676" t="s">
        <v>274</v>
      </c>
      <c r="C2" s="1676"/>
      <c r="D2" s="1676"/>
      <c r="E2" s="1676"/>
      <c r="F2" s="1676"/>
      <c r="G2" s="1676"/>
      <c r="H2" s="1676"/>
      <c r="I2" s="1676"/>
      <c r="J2" s="1676"/>
      <c r="K2" s="1676"/>
      <c r="L2" s="1676"/>
      <c r="M2" s="1676"/>
      <c r="N2" s="1676"/>
      <c r="O2" s="1676"/>
      <c r="P2" s="1676"/>
    </row>
    <row r="3" spans="1:22" ht="6" customHeight="1"/>
    <row r="4" spans="1:22" ht="13.5" thickBot="1">
      <c r="B4" s="1058">
        <v>2020</v>
      </c>
      <c r="C4" s="1058"/>
      <c r="D4" s="1058"/>
      <c r="E4" s="1058"/>
      <c r="F4" s="1058"/>
      <c r="G4" s="1058"/>
      <c r="I4" s="1058">
        <v>2021</v>
      </c>
      <c r="J4" s="1058"/>
      <c r="K4" s="1058"/>
      <c r="L4" s="1058"/>
      <c r="M4" s="1058"/>
      <c r="N4" s="1058"/>
      <c r="P4" s="1058">
        <v>2022</v>
      </c>
      <c r="Q4" s="1058"/>
      <c r="R4" s="1058"/>
      <c r="S4" s="1058"/>
      <c r="T4" s="1058"/>
      <c r="U4" s="1058"/>
    </row>
    <row r="5" spans="1:22" ht="12.75" customHeight="1" thickTop="1" thickBot="1">
      <c r="A5"/>
      <c r="B5" s="1677" t="s">
        <v>166</v>
      </c>
      <c r="C5" s="1678"/>
      <c r="D5" s="1677" t="s">
        <v>167</v>
      </c>
      <c r="E5" s="1678"/>
      <c r="F5" s="1677" t="s">
        <v>168</v>
      </c>
      <c r="G5" s="1679"/>
      <c r="H5" s="348"/>
      <c r="I5" s="1680" t="s">
        <v>166</v>
      </c>
      <c r="J5" s="1678"/>
      <c r="K5" s="1677" t="s">
        <v>167</v>
      </c>
      <c r="L5" s="1678"/>
      <c r="M5" s="1677" t="s">
        <v>168</v>
      </c>
      <c r="N5" s="1679"/>
      <c r="O5" s="345"/>
      <c r="P5" s="1681" t="s">
        <v>166</v>
      </c>
      <c r="Q5" s="1681"/>
      <c r="R5" s="1681" t="s">
        <v>167</v>
      </c>
      <c r="S5" s="1681"/>
      <c r="T5" s="1681" t="s">
        <v>168</v>
      </c>
      <c r="U5" s="1681"/>
    </row>
    <row r="6" spans="1:22" ht="22.5" thickBot="1">
      <c r="A6" s="194" t="s">
        <v>169</v>
      </c>
      <c r="B6" s="820" t="s">
        <v>718</v>
      </c>
      <c r="C6" s="820" t="s">
        <v>162</v>
      </c>
      <c r="D6" s="820" t="s">
        <v>161</v>
      </c>
      <c r="E6" s="820" t="s">
        <v>162</v>
      </c>
      <c r="F6" s="820" t="s">
        <v>161</v>
      </c>
      <c r="G6" s="820" t="s">
        <v>162</v>
      </c>
      <c r="H6" s="349"/>
      <c r="I6" s="820" t="s">
        <v>161</v>
      </c>
      <c r="J6" s="820" t="s">
        <v>162</v>
      </c>
      <c r="K6" s="820" t="s">
        <v>161</v>
      </c>
      <c r="L6" s="820" t="s">
        <v>162</v>
      </c>
      <c r="M6" s="820" t="s">
        <v>161</v>
      </c>
      <c r="N6" s="820" t="s">
        <v>162</v>
      </c>
      <c r="O6" s="822"/>
      <c r="P6" s="820" t="s">
        <v>161</v>
      </c>
      <c r="Q6" s="820" t="s">
        <v>162</v>
      </c>
      <c r="R6" s="820" t="s">
        <v>161</v>
      </c>
      <c r="S6" s="820" t="s">
        <v>162</v>
      </c>
      <c r="T6" s="820" t="s">
        <v>161</v>
      </c>
      <c r="U6" s="820" t="s">
        <v>162</v>
      </c>
    </row>
    <row r="7" spans="1:22" ht="12" thickBot="1">
      <c r="A7" s="194" t="s">
        <v>170</v>
      </c>
      <c r="B7" s="194">
        <v>18</v>
      </c>
      <c r="C7" s="194">
        <v>53</v>
      </c>
      <c r="D7" s="194">
        <v>14</v>
      </c>
      <c r="E7" s="194">
        <v>42</v>
      </c>
      <c r="F7" s="194">
        <v>32</v>
      </c>
      <c r="G7" s="194">
        <v>95</v>
      </c>
      <c r="H7" s="349"/>
      <c r="I7" s="194">
        <v>17</v>
      </c>
      <c r="J7" s="194">
        <v>44</v>
      </c>
      <c r="K7" s="194">
        <v>12</v>
      </c>
      <c r="L7" s="194">
        <v>32</v>
      </c>
      <c r="M7" s="194">
        <v>29</v>
      </c>
      <c r="N7" s="194">
        <v>76</v>
      </c>
      <c r="O7" s="346"/>
      <c r="P7" s="1255">
        <v>20</v>
      </c>
      <c r="Q7" s="1255">
        <v>59</v>
      </c>
      <c r="R7" s="1255">
        <v>9</v>
      </c>
      <c r="S7" s="1255">
        <v>24</v>
      </c>
      <c r="T7" s="194">
        <f>SUM(P7+R7)</f>
        <v>29</v>
      </c>
      <c r="U7" s="194">
        <f>Q7+S7</f>
        <v>83</v>
      </c>
    </row>
    <row r="8" spans="1:22" ht="12" thickBot="1">
      <c r="A8" s="194" t="s">
        <v>717</v>
      </c>
      <c r="B8" s="194">
        <v>48</v>
      </c>
      <c r="C8" s="194">
        <v>990</v>
      </c>
      <c r="D8" s="194">
        <v>46</v>
      </c>
      <c r="E8" s="194">
        <v>919</v>
      </c>
      <c r="F8" s="194">
        <v>94</v>
      </c>
      <c r="G8" s="194">
        <v>1909</v>
      </c>
      <c r="H8" s="349"/>
      <c r="I8" s="194">
        <v>66</v>
      </c>
      <c r="J8" s="194">
        <v>1115</v>
      </c>
      <c r="K8" s="194">
        <v>51</v>
      </c>
      <c r="L8" s="194">
        <v>1015</v>
      </c>
      <c r="M8" s="194">
        <v>117</v>
      </c>
      <c r="N8" s="194">
        <v>2130</v>
      </c>
      <c r="O8" s="346"/>
      <c r="P8" s="1255">
        <v>114</v>
      </c>
      <c r="Q8" s="1255">
        <v>1938</v>
      </c>
      <c r="R8" s="1255">
        <v>61</v>
      </c>
      <c r="S8" s="1255">
        <v>706</v>
      </c>
      <c r="T8" s="194">
        <f>SUM(P8+R8)</f>
        <v>175</v>
      </c>
      <c r="U8" s="194">
        <f>Q8+S8</f>
        <v>2644</v>
      </c>
    </row>
    <row r="9" spans="1:22" ht="12" thickBot="1">
      <c r="A9" s="352" t="s">
        <v>47</v>
      </c>
      <c r="B9" s="353">
        <v>66</v>
      </c>
      <c r="C9" s="353">
        <v>1043</v>
      </c>
      <c r="D9" s="353">
        <v>60</v>
      </c>
      <c r="E9" s="353">
        <v>961</v>
      </c>
      <c r="F9" s="353">
        <v>126</v>
      </c>
      <c r="G9" s="353">
        <v>2004</v>
      </c>
      <c r="H9" s="350"/>
      <c r="I9" s="353">
        <v>83</v>
      </c>
      <c r="J9" s="353">
        <v>1159</v>
      </c>
      <c r="K9" s="353">
        <v>63</v>
      </c>
      <c r="L9" s="353">
        <v>1047</v>
      </c>
      <c r="M9" s="353">
        <v>146</v>
      </c>
      <c r="N9" s="353">
        <v>2206</v>
      </c>
      <c r="O9" s="347"/>
      <c r="P9" s="353">
        <f t="shared" ref="P9:U9" si="0">SUM(P7:P8)</f>
        <v>134</v>
      </c>
      <c r="Q9" s="353">
        <f t="shared" si="0"/>
        <v>1997</v>
      </c>
      <c r="R9" s="353">
        <f t="shared" si="0"/>
        <v>70</v>
      </c>
      <c r="S9" s="353">
        <f t="shared" si="0"/>
        <v>730</v>
      </c>
      <c r="T9" s="353">
        <f t="shared" si="0"/>
        <v>204</v>
      </c>
      <c r="U9" s="353">
        <f t="shared" si="0"/>
        <v>2727</v>
      </c>
    </row>
    <row r="10" spans="1:22" s="136" customFormat="1" ht="6" customHeight="1">
      <c r="A10" s="2"/>
      <c r="B10" s="2"/>
      <c r="C10" s="2"/>
      <c r="D10" s="2"/>
      <c r="E10" s="2"/>
      <c r="F10" s="2"/>
      <c r="G10" s="2"/>
      <c r="H10" s="200"/>
      <c r="I10" s="2"/>
      <c r="J10" s="2"/>
      <c r="K10" s="2"/>
      <c r="L10" s="2"/>
      <c r="M10" s="2"/>
      <c r="N10" s="2"/>
      <c r="O10" s="200"/>
    </row>
    <row r="11" spans="1:22" ht="22.9" customHeight="1">
      <c r="B11" s="1676" t="s">
        <v>321</v>
      </c>
      <c r="C11" s="1676"/>
      <c r="D11" s="1676"/>
      <c r="E11" s="1676"/>
      <c r="F11" s="1676"/>
      <c r="G11" s="1676"/>
      <c r="H11" s="1676"/>
      <c r="I11" s="1676"/>
      <c r="J11" s="1676"/>
      <c r="K11" s="1676"/>
      <c r="L11" s="1676"/>
      <c r="M11" s="1676"/>
      <c r="N11" s="1676"/>
      <c r="O11" s="1676"/>
      <c r="P11" s="1676"/>
      <c r="R11" s="58"/>
      <c r="V11" s="136"/>
    </row>
    <row r="12" spans="1:22" ht="11.65" customHeight="1">
      <c r="R12" s="69"/>
    </row>
    <row r="13" spans="1:22" ht="13.5" thickBot="1">
      <c r="B13" s="1058">
        <v>2020</v>
      </c>
      <c r="C13" s="1058"/>
      <c r="D13" s="1058"/>
      <c r="E13" s="1058"/>
      <c r="F13" s="1058"/>
      <c r="G13" s="1058"/>
      <c r="I13" s="1058">
        <v>2021</v>
      </c>
      <c r="J13" s="1058"/>
      <c r="K13" s="1058"/>
      <c r="L13" s="1058"/>
      <c r="M13" s="1058"/>
      <c r="N13" s="1058"/>
      <c r="P13" s="1058">
        <v>2022</v>
      </c>
      <c r="Q13" s="1058"/>
      <c r="R13" s="1058"/>
      <c r="S13" s="1058"/>
      <c r="T13" s="1058"/>
      <c r="U13" s="1058"/>
    </row>
    <row r="14" spans="1:22" ht="12.75" customHeight="1" thickTop="1" thickBot="1">
      <c r="A14"/>
      <c r="B14" s="1677" t="s">
        <v>166</v>
      </c>
      <c r="C14" s="1678"/>
      <c r="D14" s="1677" t="s">
        <v>167</v>
      </c>
      <c r="E14" s="1678"/>
      <c r="F14" s="1677" t="s">
        <v>168</v>
      </c>
      <c r="G14" s="1679"/>
      <c r="H14" s="348"/>
      <c r="I14" s="1680" t="s">
        <v>166</v>
      </c>
      <c r="J14" s="1678"/>
      <c r="K14" s="1677" t="s">
        <v>167</v>
      </c>
      <c r="L14" s="1678"/>
      <c r="M14" s="1677" t="s">
        <v>168</v>
      </c>
      <c r="N14" s="1679"/>
      <c r="O14" s="345"/>
      <c r="P14" s="1681" t="s">
        <v>166</v>
      </c>
      <c r="Q14" s="1681"/>
      <c r="R14" s="1681" t="s">
        <v>167</v>
      </c>
      <c r="S14" s="1681"/>
      <c r="T14" s="1681" t="s">
        <v>168</v>
      </c>
      <c r="U14" s="1681"/>
    </row>
    <row r="15" spans="1:22" ht="22.5" thickBot="1">
      <c r="A15" s="194" t="s">
        <v>169</v>
      </c>
      <c r="B15" s="820" t="s">
        <v>718</v>
      </c>
      <c r="C15" s="820" t="s">
        <v>162</v>
      </c>
      <c r="D15" s="820" t="s">
        <v>161</v>
      </c>
      <c r="E15" s="820" t="s">
        <v>162</v>
      </c>
      <c r="F15" s="820" t="s">
        <v>161</v>
      </c>
      <c r="G15" s="821" t="s">
        <v>162</v>
      </c>
      <c r="H15" s="349"/>
      <c r="I15" s="820" t="s">
        <v>161</v>
      </c>
      <c r="J15" s="820" t="s">
        <v>162</v>
      </c>
      <c r="K15" s="820" t="s">
        <v>161</v>
      </c>
      <c r="L15" s="820" t="s">
        <v>162</v>
      </c>
      <c r="M15" s="820" t="s">
        <v>161</v>
      </c>
      <c r="N15" s="821" t="s">
        <v>162</v>
      </c>
      <c r="O15" s="822"/>
      <c r="P15" s="820" t="s">
        <v>161</v>
      </c>
      <c r="Q15" s="820" t="s">
        <v>162</v>
      </c>
      <c r="R15" s="820" t="s">
        <v>161</v>
      </c>
      <c r="S15" s="820" t="s">
        <v>162</v>
      </c>
      <c r="T15" s="820" t="s">
        <v>161</v>
      </c>
      <c r="U15" s="820" t="s">
        <v>162</v>
      </c>
    </row>
    <row r="16" spans="1:22" ht="12" thickBot="1">
      <c r="A16" s="194" t="s">
        <v>170</v>
      </c>
      <c r="B16" s="194">
        <v>66</v>
      </c>
      <c r="C16" s="194">
        <v>194</v>
      </c>
      <c r="D16" s="194">
        <v>17</v>
      </c>
      <c r="E16" s="194">
        <v>54</v>
      </c>
      <c r="F16" s="194">
        <v>83</v>
      </c>
      <c r="G16" s="194">
        <v>248</v>
      </c>
      <c r="H16" s="349"/>
      <c r="I16" s="194">
        <v>70</v>
      </c>
      <c r="J16" s="194">
        <v>203</v>
      </c>
      <c r="K16" s="194">
        <v>17</v>
      </c>
      <c r="L16" s="194">
        <v>44</v>
      </c>
      <c r="M16" s="194">
        <v>87</v>
      </c>
      <c r="N16" s="194">
        <v>247</v>
      </c>
      <c r="O16" s="346"/>
      <c r="P16" s="1255">
        <v>97</v>
      </c>
      <c r="Q16" s="1255">
        <v>286</v>
      </c>
      <c r="R16" s="1255">
        <v>32</v>
      </c>
      <c r="S16" s="1255">
        <v>85</v>
      </c>
      <c r="T16" s="194">
        <f>P16+R16</f>
        <v>129</v>
      </c>
      <c r="U16" s="194">
        <f>Q16+S16</f>
        <v>371</v>
      </c>
    </row>
    <row r="17" spans="1:21" ht="12" thickBot="1">
      <c r="A17" s="194" t="s">
        <v>717</v>
      </c>
      <c r="B17" s="194">
        <v>199</v>
      </c>
      <c r="C17" s="194">
        <v>3201</v>
      </c>
      <c r="D17" s="194">
        <v>50</v>
      </c>
      <c r="E17" s="194">
        <v>944</v>
      </c>
      <c r="F17" s="194">
        <v>249</v>
      </c>
      <c r="G17" s="194">
        <v>4145</v>
      </c>
      <c r="H17" s="349"/>
      <c r="I17" s="194">
        <v>231</v>
      </c>
      <c r="J17" s="194">
        <v>3444</v>
      </c>
      <c r="K17" s="194">
        <v>68</v>
      </c>
      <c r="L17" s="194">
        <v>1000</v>
      </c>
      <c r="M17" s="194">
        <v>299</v>
      </c>
      <c r="N17" s="194">
        <v>4444</v>
      </c>
      <c r="O17" s="346"/>
      <c r="P17" s="1255">
        <v>326</v>
      </c>
      <c r="Q17" s="1255">
        <v>4519</v>
      </c>
      <c r="R17" s="1255">
        <v>104</v>
      </c>
      <c r="S17" s="1255">
        <v>1267</v>
      </c>
      <c r="T17" s="194">
        <f>P17+R17</f>
        <v>430</v>
      </c>
      <c r="U17" s="194">
        <f>Q17+S17</f>
        <v>5786</v>
      </c>
    </row>
    <row r="18" spans="1:21" ht="12" thickBot="1">
      <c r="A18" s="352" t="s">
        <v>47</v>
      </c>
      <c r="B18" s="353">
        <v>265</v>
      </c>
      <c r="C18" s="353">
        <v>3395</v>
      </c>
      <c r="D18" s="353">
        <v>67</v>
      </c>
      <c r="E18" s="353">
        <v>998</v>
      </c>
      <c r="F18" s="353">
        <v>332</v>
      </c>
      <c r="G18" s="353">
        <v>4393</v>
      </c>
      <c r="H18" s="350"/>
      <c r="I18" s="353">
        <v>301</v>
      </c>
      <c r="J18" s="353">
        <v>3647</v>
      </c>
      <c r="K18" s="353">
        <v>85</v>
      </c>
      <c r="L18" s="353">
        <v>1044</v>
      </c>
      <c r="M18" s="353">
        <v>386</v>
      </c>
      <c r="N18" s="353">
        <v>4691</v>
      </c>
      <c r="O18" s="347"/>
      <c r="P18" s="353">
        <f t="shared" ref="P18:U18" si="1">SUM(P16:P17)</f>
        <v>423</v>
      </c>
      <c r="Q18" s="353">
        <f t="shared" si="1"/>
        <v>4805</v>
      </c>
      <c r="R18" s="353">
        <f t="shared" si="1"/>
        <v>136</v>
      </c>
      <c r="S18" s="353">
        <f t="shared" si="1"/>
        <v>1352</v>
      </c>
      <c r="T18" s="353">
        <f t="shared" si="1"/>
        <v>559</v>
      </c>
      <c r="U18" s="353">
        <f t="shared" si="1"/>
        <v>6157</v>
      </c>
    </row>
    <row r="19" spans="1:21" ht="6" customHeight="1">
      <c r="R19" s="673"/>
      <c r="S19" s="673"/>
      <c r="T19" s="673"/>
      <c r="U19" s="595"/>
    </row>
    <row r="20" spans="1:21" ht="12">
      <c r="R20" s="673"/>
      <c r="S20" s="673"/>
      <c r="T20" s="673"/>
      <c r="U20" s="595"/>
    </row>
    <row r="21" spans="1:21" ht="12">
      <c r="R21" s="674"/>
      <c r="S21" s="673"/>
      <c r="T21" s="673"/>
      <c r="U21" s="595"/>
    </row>
    <row r="22" spans="1:21" ht="12">
      <c r="R22" s="673"/>
      <c r="S22" s="673"/>
      <c r="T22" s="673"/>
      <c r="U22" s="595"/>
    </row>
    <row r="23" spans="1:21" ht="12">
      <c r="E23" s="354"/>
      <c r="F23" s="355"/>
      <c r="K23" s="351"/>
      <c r="L23" s="351"/>
      <c r="R23" s="673"/>
      <c r="S23" s="673"/>
      <c r="T23" s="673"/>
      <c r="U23" s="673"/>
    </row>
    <row r="24" spans="1:21" ht="12">
      <c r="E24" s="354"/>
      <c r="F24" s="355"/>
      <c r="K24" s="351"/>
      <c r="L24" s="351"/>
      <c r="R24" s="673"/>
      <c r="S24" s="673"/>
      <c r="T24" s="673"/>
      <c r="U24" s="673"/>
    </row>
    <row r="25" spans="1:21" ht="12">
      <c r="E25" s="354"/>
      <c r="F25" s="355"/>
      <c r="K25" s="351"/>
      <c r="L25" s="351"/>
      <c r="R25" s="593"/>
      <c r="S25" s="594"/>
      <c r="T25" s="594"/>
      <c r="U25" s="594"/>
    </row>
    <row r="26" spans="1:21" ht="12">
      <c r="R26" s="593"/>
      <c r="S26" s="848"/>
      <c r="T26" s="594"/>
      <c r="U26" s="594"/>
    </row>
    <row r="27" spans="1:21" ht="12">
      <c r="R27" s="593"/>
      <c r="S27" s="594"/>
      <c r="T27" s="594"/>
      <c r="U27" s="594"/>
    </row>
  </sheetData>
  <mergeCells count="20">
    <mergeCell ref="P14:Q14"/>
    <mergeCell ref="R14:S14"/>
    <mergeCell ref="T14:U14"/>
    <mergeCell ref="P5:Q5"/>
    <mergeCell ref="R5:S5"/>
    <mergeCell ref="T5:U5"/>
    <mergeCell ref="B11:P11"/>
    <mergeCell ref="I14:J14"/>
    <mergeCell ref="K14:L14"/>
    <mergeCell ref="M14:N14"/>
    <mergeCell ref="B14:C14"/>
    <mergeCell ref="D14:E14"/>
    <mergeCell ref="F14:G14"/>
    <mergeCell ref="B2:P2"/>
    <mergeCell ref="B5:C5"/>
    <mergeCell ref="D5:E5"/>
    <mergeCell ref="F5:G5"/>
    <mergeCell ref="I5:J5"/>
    <mergeCell ref="K5:L5"/>
    <mergeCell ref="M5:N5"/>
  </mergeCells>
  <pageMargins left="0.11811023622047245" right="0.11811023622047245" top="0.35433070866141736" bottom="0.35433070866141736" header="0.31496062992125984" footer="0.31496062992125984"/>
  <pageSetup paperSize="9" scale="9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2D050"/>
  </sheetPr>
  <dimension ref="A1:X41"/>
  <sheetViews>
    <sheetView showGridLines="0" zoomScaleNormal="100" zoomScaleSheetLayoutView="90" workbookViewId="0">
      <selection activeCell="S41" sqref="S41"/>
    </sheetView>
  </sheetViews>
  <sheetFormatPr baseColWidth="10" defaultColWidth="12" defaultRowHeight="11.25"/>
  <cols>
    <col min="1" max="1" width="4.1640625" style="56" customWidth="1"/>
    <col min="2" max="2" width="23.6640625" style="56" customWidth="1"/>
    <col min="3" max="8" width="8.6640625" style="56" customWidth="1"/>
    <col min="9" max="9" width="3" style="56" customWidth="1"/>
    <col min="10" max="15" width="8.6640625" style="56" customWidth="1"/>
    <col min="16" max="16" width="17.33203125" style="56" customWidth="1"/>
    <col min="17" max="17" width="26.6640625" style="56" customWidth="1"/>
    <col min="18" max="18" width="11.6640625" style="56" customWidth="1"/>
    <col min="19" max="16384" width="12" style="56"/>
  </cols>
  <sheetData>
    <row r="1" spans="1:22" ht="15.75">
      <c r="A1" s="155" t="s">
        <v>600</v>
      </c>
      <c r="N1" s="728"/>
      <c r="T1"/>
      <c r="U1" s="450"/>
      <c r="V1" s="450"/>
    </row>
    <row r="2" spans="1:22" ht="12.75">
      <c r="A2" s="511" t="s">
        <v>1073</v>
      </c>
      <c r="T2"/>
      <c r="U2" s="450"/>
      <c r="V2" s="450"/>
    </row>
    <row r="3" spans="1:22">
      <c r="T3"/>
    </row>
    <row r="4" spans="1:22">
      <c r="T4"/>
    </row>
    <row r="5" spans="1:22">
      <c r="T5"/>
    </row>
    <row r="6" spans="1:22" ht="12">
      <c r="C6" s="162"/>
      <c r="D6" s="56" t="s">
        <v>322</v>
      </c>
      <c r="E6" s="56" t="s">
        <v>323</v>
      </c>
      <c r="F6" s="56" t="s">
        <v>324</v>
      </c>
      <c r="G6" s="522" t="s">
        <v>325</v>
      </c>
      <c r="J6" s="593"/>
      <c r="K6" s="594"/>
      <c r="L6" s="594"/>
      <c r="S6" s="593"/>
      <c r="T6" s="594"/>
    </row>
    <row r="7" spans="1:22" ht="12">
      <c r="C7" s="56">
        <v>2020</v>
      </c>
      <c r="D7" s="867">
        <v>557</v>
      </c>
      <c r="E7" s="56">
        <v>1524</v>
      </c>
      <c r="F7" s="56">
        <v>1928</v>
      </c>
      <c r="G7" s="304">
        <v>2388</v>
      </c>
      <c r="H7" s="190">
        <f>SUM(D7:G7)</f>
        <v>6397</v>
      </c>
      <c r="J7" s="593"/>
      <c r="K7" s="594"/>
      <c r="L7" s="594"/>
      <c r="S7" s="593"/>
      <c r="T7" s="594"/>
    </row>
    <row r="8" spans="1:22" ht="12">
      <c r="B8" s="162"/>
      <c r="C8" s="56">
        <v>2021</v>
      </c>
      <c r="D8" s="56">
        <v>1983</v>
      </c>
      <c r="E8" s="56">
        <v>1023</v>
      </c>
      <c r="F8" s="56">
        <v>2004</v>
      </c>
      <c r="G8" s="672">
        <v>1887</v>
      </c>
      <c r="H8" s="190">
        <f t="shared" ref="H8:H9" si="0">SUM(D8:G8)</f>
        <v>6897</v>
      </c>
      <c r="J8" s="593"/>
      <c r="K8" s="594"/>
      <c r="L8" s="594"/>
      <c r="O8" s="471"/>
      <c r="S8" s="593"/>
      <c r="T8" s="594"/>
    </row>
    <row r="9" spans="1:22" ht="12">
      <c r="B9" s="162"/>
      <c r="C9" s="56">
        <v>2022</v>
      </c>
      <c r="D9" s="56">
        <v>2137</v>
      </c>
      <c r="E9" s="56">
        <v>1969</v>
      </c>
      <c r="F9" s="56">
        <v>2297</v>
      </c>
      <c r="G9" s="672">
        <v>2481</v>
      </c>
      <c r="H9" s="190">
        <f t="shared" si="0"/>
        <v>8884</v>
      </c>
      <c r="J9" s="593"/>
      <c r="K9" s="594"/>
      <c r="L9" s="594"/>
      <c r="M9" s="282"/>
      <c r="N9" s="282"/>
      <c r="O9" s="282"/>
      <c r="S9" s="593"/>
      <c r="T9" s="594"/>
    </row>
    <row r="10" spans="1:22">
      <c r="B10" s="162"/>
      <c r="M10" s="527"/>
      <c r="N10" s="527"/>
      <c r="O10" s="527"/>
      <c r="P10" s="190"/>
      <c r="S10" s="154"/>
      <c r="T10" s="414"/>
    </row>
    <row r="11" spans="1:22">
      <c r="G11" s="672"/>
      <c r="S11" s="154"/>
      <c r="T11" s="414"/>
    </row>
    <row r="12" spans="1:22">
      <c r="S12" s="154"/>
      <c r="T12" s="414"/>
    </row>
    <row r="14" spans="1:22">
      <c r="S14" s="154"/>
      <c r="T14" s="414"/>
    </row>
    <row r="15" spans="1:22">
      <c r="M15" s="162"/>
      <c r="P15" s="909">
        <f>('CongésMadadie (2)'!T7+'CongésMadadie (2)'!T16)/('CongésMadadie (2)'!T9+'CongésMadadie (2)'!T18)</f>
        <v>0.20707732634338138</v>
      </c>
      <c r="S15" s="154"/>
      <c r="T15" s="414"/>
    </row>
    <row r="16" spans="1:22">
      <c r="S16" s="154"/>
      <c r="T16" s="414"/>
    </row>
    <row r="17" spans="3:24">
      <c r="S17" s="154"/>
      <c r="T17" s="414"/>
    </row>
    <row r="24" spans="3:24">
      <c r="S24" s="162"/>
    </row>
    <row r="25" spans="3:24">
      <c r="S25" s="162"/>
      <c r="T25" s="162"/>
    </row>
    <row r="26" spans="3:24">
      <c r="S26" s="162"/>
      <c r="T26" s="162"/>
      <c r="U26" s="190"/>
      <c r="V26" s="190"/>
      <c r="W26" s="190"/>
      <c r="X26" s="356"/>
    </row>
    <row r="27" spans="3:24">
      <c r="D27" s="56" t="s">
        <v>322</v>
      </c>
      <c r="E27" s="56" t="s">
        <v>323</v>
      </c>
      <c r="F27" s="56" t="s">
        <v>324</v>
      </c>
      <c r="G27" s="522" t="s">
        <v>325</v>
      </c>
    </row>
    <row r="28" spans="3:24">
      <c r="C28" s="56">
        <v>2020</v>
      </c>
      <c r="D28" s="56">
        <v>33</v>
      </c>
      <c r="E28" s="56">
        <v>89</v>
      </c>
      <c r="F28" s="56">
        <v>143</v>
      </c>
      <c r="G28" s="56">
        <v>193</v>
      </c>
      <c r="H28" s="56">
        <f>SUM(D28:G28)</f>
        <v>458</v>
      </c>
    </row>
    <row r="29" spans="3:24">
      <c r="C29" s="56">
        <v>2021</v>
      </c>
      <c r="D29" s="56">
        <v>128</v>
      </c>
      <c r="E29" s="56">
        <v>81</v>
      </c>
      <c r="F29" s="56">
        <v>177</v>
      </c>
      <c r="G29" s="56">
        <v>146</v>
      </c>
      <c r="H29" s="56">
        <f t="shared" ref="H29:H30" si="1">SUM(D29:G29)</f>
        <v>532</v>
      </c>
      <c r="X29" s="522"/>
    </row>
    <row r="30" spans="3:24">
      <c r="C30" s="56">
        <v>2022</v>
      </c>
      <c r="D30" s="56">
        <v>191</v>
      </c>
      <c r="E30" s="56">
        <v>117</v>
      </c>
      <c r="F30" s="56">
        <v>226</v>
      </c>
      <c r="G30" s="56">
        <v>229</v>
      </c>
      <c r="H30" s="56">
        <f t="shared" si="1"/>
        <v>763</v>
      </c>
      <c r="T30" s="162"/>
      <c r="U30" s="282"/>
      <c r="V30" s="282"/>
      <c r="W30" s="282"/>
      <c r="X30" s="282"/>
    </row>
    <row r="31" spans="3:24">
      <c r="T31" s="162"/>
      <c r="U31" s="527"/>
      <c r="V31" s="527"/>
      <c r="W31" s="527"/>
      <c r="X31" s="527"/>
    </row>
    <row r="32" spans="3:24">
      <c r="N32" s="522"/>
    </row>
    <row r="35" spans="1:21">
      <c r="T35" s="154"/>
      <c r="U35" s="414"/>
    </row>
    <row r="36" spans="1:21">
      <c r="T36" s="154"/>
      <c r="U36" s="414"/>
    </row>
    <row r="37" spans="1:21">
      <c r="T37" s="154"/>
      <c r="U37" s="414"/>
    </row>
    <row r="38" spans="1:21" ht="12">
      <c r="B38" s="289"/>
      <c r="T38" s="154"/>
      <c r="U38" s="414"/>
    </row>
    <row r="39" spans="1:21" ht="15.75">
      <c r="A39" s="155"/>
      <c r="B39" s="289"/>
    </row>
    <row r="40" spans="1:21" ht="12">
      <c r="B40" s="289"/>
    </row>
    <row r="41" spans="1:21" ht="12">
      <c r="B41" s="289"/>
    </row>
  </sheetData>
  <pageMargins left="0.11811023622047245" right="0.11811023622047245" top="0.35433070866141736" bottom="0.35433070866141736" header="0.31496062992125984" footer="0.31496062992125984"/>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sheetPr>
  <dimension ref="A1:X41"/>
  <sheetViews>
    <sheetView showGridLines="0" topLeftCell="A13" zoomScaleNormal="100" zoomScaleSheetLayoutView="90" workbookViewId="0">
      <selection activeCell="Q32" sqref="Q32"/>
    </sheetView>
  </sheetViews>
  <sheetFormatPr baseColWidth="10" defaultColWidth="12" defaultRowHeight="11.25"/>
  <cols>
    <col min="1" max="2" width="12" style="56"/>
    <col min="3" max="3" width="17.6640625" style="56" customWidth="1"/>
    <col min="4" max="7" width="9.33203125" style="56" customWidth="1"/>
    <col min="8" max="8" width="2.5" style="56" customWidth="1"/>
    <col min="9" max="12" width="9.33203125" style="56" customWidth="1"/>
    <col min="13" max="13" width="2.5" style="56" customWidth="1"/>
    <col min="14" max="17" width="9.33203125" style="56" customWidth="1"/>
    <col min="18" max="16384" width="12" style="56"/>
  </cols>
  <sheetData>
    <row r="1" spans="1:19" ht="18.75">
      <c r="A1" s="230" t="s">
        <v>666</v>
      </c>
    </row>
    <row r="5" spans="1:19">
      <c r="D5" s="231"/>
      <c r="L5" s="154"/>
      <c r="M5" s="414"/>
      <c r="N5" s="414"/>
      <c r="O5" s="414"/>
      <c r="P5" s="414"/>
    </row>
    <row r="6" spans="1:19">
      <c r="L6" s="154"/>
      <c r="M6" s="414"/>
      <c r="N6" s="414"/>
      <c r="O6" s="414"/>
      <c r="P6" s="414"/>
      <c r="S6" s="1683"/>
    </row>
    <row r="7" spans="1:19">
      <c r="L7" s="154"/>
      <c r="M7" s="414"/>
      <c r="N7" s="414"/>
      <c r="O7" s="414"/>
      <c r="P7" s="414"/>
      <c r="S7" s="1683"/>
    </row>
    <row r="9" spans="1:19">
      <c r="S9" s="719"/>
    </row>
    <row r="17" spans="1:24">
      <c r="J17" s="1682"/>
      <c r="K17" s="1682"/>
      <c r="L17" s="1682"/>
      <c r="M17" s="1682"/>
      <c r="N17" s="1682"/>
      <c r="O17" s="1682"/>
      <c r="P17" s="1682"/>
      <c r="Q17" s="756"/>
      <c r="R17" s="756"/>
    </row>
    <row r="19" spans="1:24" ht="18.75">
      <c r="A19" s="230" t="s">
        <v>160</v>
      </c>
    </row>
    <row r="20" spans="1:24" ht="12" thickBot="1"/>
    <row r="21" spans="1:24" s="434" customFormat="1" ht="13.5" thickBot="1">
      <c r="C21" s="679"/>
      <c r="D21" s="1059">
        <v>2020</v>
      </c>
      <c r="E21" s="1060"/>
      <c r="F21" s="1060"/>
      <c r="G21" s="1061"/>
      <c r="I21" s="1059">
        <v>2021</v>
      </c>
      <c r="J21" s="1060"/>
      <c r="K21" s="1060"/>
      <c r="L21" s="1061"/>
      <c r="N21" s="1059">
        <v>2022</v>
      </c>
      <c r="O21" s="1060"/>
      <c r="P21" s="1060"/>
      <c r="Q21" s="1061"/>
      <c r="T21" s="56"/>
      <c r="U21" s="56"/>
      <c r="V21" s="56"/>
      <c r="W21" s="56"/>
      <c r="X21" s="56"/>
    </row>
    <row r="22" spans="1:24" s="434" customFormat="1" ht="13.5" thickBot="1">
      <c r="C22" s="679"/>
      <c r="N22" s="750"/>
      <c r="O22" s="750"/>
      <c r="P22" s="750"/>
      <c r="Q22" s="750"/>
      <c r="T22" s="154"/>
      <c r="U22" s="414"/>
      <c r="V22" s="414"/>
      <c r="W22" s="414"/>
      <c r="X22" s="414"/>
    </row>
    <row r="23" spans="1:24" s="434" customFormat="1" ht="15.75" customHeight="1" thickBot="1">
      <c r="C23" s="167"/>
      <c r="D23" s="898" t="s">
        <v>175</v>
      </c>
      <c r="E23" s="898" t="s">
        <v>320</v>
      </c>
      <c r="F23" s="898" t="s">
        <v>150</v>
      </c>
      <c r="G23" s="898" t="s">
        <v>162</v>
      </c>
      <c r="I23" s="898" t="s">
        <v>175</v>
      </c>
      <c r="J23" s="898" t="s">
        <v>320</v>
      </c>
      <c r="K23" s="898" t="s">
        <v>150</v>
      </c>
      <c r="L23" s="898" t="s">
        <v>162</v>
      </c>
      <c r="N23" s="883" t="s">
        <v>175</v>
      </c>
      <c r="O23" s="883" t="s">
        <v>320</v>
      </c>
      <c r="P23" s="883" t="s">
        <v>150</v>
      </c>
      <c r="Q23" s="883" t="s">
        <v>162</v>
      </c>
      <c r="S23" s="593"/>
      <c r="T23" s="154"/>
      <c r="U23" s="414"/>
      <c r="V23" s="414"/>
      <c r="W23" s="414"/>
      <c r="X23" s="414"/>
    </row>
    <row r="24" spans="1:24" s="434" customFormat="1" ht="6" customHeight="1" thickBot="1">
      <c r="C24" s="167"/>
      <c r="S24" s="593"/>
      <c r="T24" s="154"/>
      <c r="U24" s="414"/>
      <c r="V24" s="414"/>
      <c r="W24" s="414"/>
      <c r="X24" s="414"/>
    </row>
    <row r="25" spans="1:24" s="434" customFormat="1" ht="15.75" customHeight="1" thickBot="1">
      <c r="A25" s="185"/>
      <c r="C25" s="680" t="s">
        <v>174</v>
      </c>
      <c r="D25" s="391">
        <v>16</v>
      </c>
      <c r="E25" s="391">
        <v>10</v>
      </c>
      <c r="F25" s="391">
        <f>SUM(D25:E25)</f>
        <v>26</v>
      </c>
      <c r="G25" s="391">
        <v>2087</v>
      </c>
      <c r="I25" s="391">
        <v>16</v>
      </c>
      <c r="J25" s="391">
        <v>9</v>
      </c>
      <c r="K25" s="391">
        <f>SUM(I25:J25)</f>
        <v>25</v>
      </c>
      <c r="L25" s="391">
        <v>2331</v>
      </c>
      <c r="N25" s="1321">
        <v>12</v>
      </c>
      <c r="O25" s="1321">
        <v>11</v>
      </c>
      <c r="P25" s="391">
        <f>SUM(N25:O25)</f>
        <v>23</v>
      </c>
      <c r="Q25" s="391">
        <v>2014</v>
      </c>
    </row>
    <row r="26" spans="1:24" s="434" customFormat="1" ht="6" customHeight="1" thickBot="1">
      <c r="A26" s="185"/>
      <c r="C26" s="167"/>
      <c r="N26" s="1322"/>
      <c r="O26" s="1322"/>
      <c r="S26" s="593"/>
      <c r="T26" s="154"/>
      <c r="U26" s="414"/>
      <c r="V26" s="414"/>
      <c r="W26" s="414"/>
      <c r="X26" s="414"/>
    </row>
    <row r="27" spans="1:24" s="434" customFormat="1" ht="21.75" thickBot="1">
      <c r="A27" s="185"/>
      <c r="C27" s="1007" t="s">
        <v>783</v>
      </c>
      <c r="D27" s="391">
        <v>4</v>
      </c>
      <c r="E27" s="391">
        <v>8</v>
      </c>
      <c r="F27" s="1006">
        <f>SUM(D27:E27)</f>
        <v>12</v>
      </c>
      <c r="G27" s="391">
        <v>171</v>
      </c>
      <c r="I27" s="391">
        <v>3</v>
      </c>
      <c r="J27" s="391">
        <v>3</v>
      </c>
      <c r="K27" s="1006">
        <f>SUM(I27:J27)</f>
        <v>6</v>
      </c>
      <c r="L27" s="391">
        <v>90</v>
      </c>
      <c r="N27" s="1321">
        <v>2</v>
      </c>
      <c r="O27" s="1321">
        <v>9</v>
      </c>
      <c r="P27" s="1006">
        <f>SUM(N27:O27)</f>
        <v>11</v>
      </c>
      <c r="Q27" s="391">
        <v>142</v>
      </c>
    </row>
    <row r="28" spans="1:24" s="681" customFormat="1" ht="6" customHeight="1" thickBot="1">
      <c r="A28" s="185"/>
      <c r="C28" s="682"/>
      <c r="D28" s="683"/>
      <c r="E28" s="683"/>
      <c r="F28" s="434"/>
      <c r="G28" s="683"/>
      <c r="I28" s="683"/>
      <c r="J28" s="683"/>
      <c r="K28" s="434"/>
      <c r="L28" s="683"/>
      <c r="N28" s="1323"/>
      <c r="O28" s="1323"/>
      <c r="P28" s="434"/>
      <c r="Q28" s="683"/>
    </row>
    <row r="29" spans="1:24" s="434" customFormat="1" ht="22.5" customHeight="1" thickBot="1">
      <c r="A29" s="185"/>
      <c r="C29" s="1007" t="s">
        <v>1082</v>
      </c>
      <c r="D29" s="391">
        <v>6</v>
      </c>
      <c r="E29" s="391">
        <v>4</v>
      </c>
      <c r="F29" s="391">
        <f>SUM(D29:E29)</f>
        <v>10</v>
      </c>
      <c r="G29" s="391">
        <v>114</v>
      </c>
      <c r="I29" s="391">
        <v>8</v>
      </c>
      <c r="J29" s="391">
        <v>3</v>
      </c>
      <c r="K29" s="391">
        <f>SUM(I29:J29)</f>
        <v>11</v>
      </c>
      <c r="L29" s="391">
        <v>199</v>
      </c>
      <c r="N29" s="1321">
        <v>11</v>
      </c>
      <c r="O29" s="1321">
        <v>6</v>
      </c>
      <c r="P29" s="391">
        <f>SUM(N29:O29)</f>
        <v>17</v>
      </c>
      <c r="Q29" s="391">
        <v>286</v>
      </c>
      <c r="R29" s="719"/>
    </row>
    <row r="30" spans="1:24" s="681" customFormat="1" ht="6" customHeight="1" thickBot="1">
      <c r="A30" s="185"/>
      <c r="C30" s="682"/>
      <c r="D30" s="683"/>
      <c r="E30" s="683"/>
      <c r="F30" s="434"/>
      <c r="G30" s="683"/>
      <c r="I30" s="683"/>
      <c r="J30" s="683"/>
      <c r="K30" s="434"/>
      <c r="L30" s="683"/>
      <c r="N30" s="1323"/>
      <c r="O30" s="1323"/>
      <c r="P30" s="434"/>
      <c r="Q30" s="683"/>
    </row>
    <row r="31" spans="1:24" s="434" customFormat="1" ht="15.75" customHeight="1" thickBot="1">
      <c r="A31" s="185"/>
      <c r="C31" s="680" t="s">
        <v>173</v>
      </c>
      <c r="D31" s="391">
        <v>2</v>
      </c>
      <c r="E31" s="391">
        <v>1</v>
      </c>
      <c r="F31" s="391">
        <f>SUM(D31:E31)</f>
        <v>3</v>
      </c>
      <c r="G31" s="391">
        <v>456</v>
      </c>
      <c r="I31" s="391">
        <v>1</v>
      </c>
      <c r="J31" s="391">
        <v>5</v>
      </c>
      <c r="K31" s="391">
        <f>SUM(I31:J31)</f>
        <v>6</v>
      </c>
      <c r="L31" s="391">
        <v>731</v>
      </c>
      <c r="N31" s="1321"/>
      <c r="O31" s="1321">
        <v>3</v>
      </c>
      <c r="P31" s="391">
        <f>SUM(N31:O31)</f>
        <v>3</v>
      </c>
      <c r="Q31" s="391">
        <v>332</v>
      </c>
      <c r="R31" s="719"/>
    </row>
    <row r="32" spans="1:24" s="681" customFormat="1" ht="6" customHeight="1" thickBot="1">
      <c r="A32" s="185"/>
      <c r="C32" s="682"/>
      <c r="D32" s="684"/>
      <c r="E32" s="684"/>
      <c r="F32" s="434"/>
      <c r="G32" s="685"/>
      <c r="I32" s="684"/>
      <c r="J32" s="684"/>
      <c r="K32" s="434"/>
      <c r="L32" s="685"/>
      <c r="N32" s="684"/>
      <c r="O32" s="684"/>
      <c r="P32" s="434"/>
      <c r="Q32" s="685"/>
    </row>
    <row r="33" spans="1:17" s="434" customFormat="1" ht="15.75" customHeight="1" thickBot="1">
      <c r="A33" s="185"/>
      <c r="C33" s="686" t="s">
        <v>47</v>
      </c>
      <c r="D33" s="547">
        <f t="shared" ref="D33:E33" si="0">SUM(D25:D31)</f>
        <v>28</v>
      </c>
      <c r="E33" s="547">
        <f t="shared" si="0"/>
        <v>23</v>
      </c>
      <c r="F33" s="547">
        <f>SUM(F25:F31)</f>
        <v>51</v>
      </c>
      <c r="G33" s="547">
        <f>SUM(G25:G32)</f>
        <v>2828</v>
      </c>
      <c r="I33" s="547">
        <f t="shared" ref="I33:J33" si="1">SUM(I25:I31)</f>
        <v>28</v>
      </c>
      <c r="J33" s="547">
        <f t="shared" si="1"/>
        <v>20</v>
      </c>
      <c r="K33" s="547">
        <f>SUM(K25:K31)</f>
        <v>48</v>
      </c>
      <c r="L33" s="547">
        <f>SUM(L25:L32)</f>
        <v>3351</v>
      </c>
      <c r="N33" s="547">
        <f t="shared" ref="N33:O33" si="2">SUM(N25:N31)</f>
        <v>25</v>
      </c>
      <c r="O33" s="547">
        <f t="shared" si="2"/>
        <v>29</v>
      </c>
      <c r="P33" s="547">
        <f>SUM(P25:P31)</f>
        <v>54</v>
      </c>
      <c r="Q33" s="547">
        <f>SUM(Q25:Q32)</f>
        <v>2774</v>
      </c>
    </row>
    <row r="34" spans="1:17">
      <c r="A34" s="185"/>
      <c r="E34"/>
    </row>
    <row r="35" spans="1:17">
      <c r="A35" s="67"/>
    </row>
    <row r="38" spans="1:17" ht="68.25" customHeight="1"/>
    <row r="39" spans="1:17" ht="18.75">
      <c r="A39" s="230" t="s">
        <v>478</v>
      </c>
    </row>
    <row r="41" spans="1:17">
      <c r="N41" s="860"/>
    </row>
  </sheetData>
  <mergeCells count="2">
    <mergeCell ref="J17:P17"/>
    <mergeCell ref="S6:S7"/>
  </mergeCells>
  <pageMargins left="0.11811023622047245" right="0.11811023622047245" top="0.35433070866141736" bottom="0.35433070866141736" header="0.31496062992125984" footer="0.31496062992125984"/>
  <pageSetup paperSize="9" scale="9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92D050"/>
    <pageSetUpPr fitToPage="1"/>
  </sheetPr>
  <dimension ref="A1:W57"/>
  <sheetViews>
    <sheetView showGridLines="0" topLeftCell="G1" zoomScaleNormal="100" zoomScaleSheetLayoutView="110" workbookViewId="0">
      <selection activeCell="K60" sqref="K60"/>
    </sheetView>
  </sheetViews>
  <sheetFormatPr baseColWidth="10" defaultColWidth="12" defaultRowHeight="10.5"/>
  <cols>
    <col min="1" max="1" width="7.33203125" style="203" customWidth="1"/>
    <col min="2" max="5" width="12" style="203"/>
    <col min="6" max="6" width="13.5" style="203" customWidth="1"/>
    <col min="7" max="7" width="8.5" style="203" customWidth="1"/>
    <col min="8" max="8" width="3.6640625" style="203" customWidth="1"/>
    <col min="9" max="9" width="5.6640625" style="203" customWidth="1"/>
    <col min="10" max="10" width="12" style="203"/>
    <col min="11" max="11" width="38.5" style="203" customWidth="1"/>
    <col min="12" max="12" width="9.6640625" style="217" customWidth="1"/>
    <col min="13" max="13" width="2.33203125" style="217" customWidth="1"/>
    <col min="14" max="14" width="9.6640625" style="823" customWidth="1"/>
    <col min="15" max="15" width="11.33203125" style="823" bestFit="1" customWidth="1"/>
    <col min="16" max="16" width="2.33203125" style="217" customWidth="1"/>
    <col min="17" max="17" width="9.6640625" style="823" customWidth="1"/>
    <col min="18" max="18" width="11.33203125" style="823" bestFit="1" customWidth="1"/>
    <col min="19" max="19" width="2.33203125" style="217" customWidth="1"/>
    <col min="20" max="20" width="9.6640625" style="823" customWidth="1"/>
    <col min="21" max="21" width="11.33203125" style="823" bestFit="1" customWidth="1"/>
    <col min="22" max="22" width="12" style="203"/>
    <col min="23" max="23" width="3.6640625" style="203" customWidth="1"/>
    <col min="24" max="24" width="12" style="203"/>
    <col min="25" max="25" width="30.1640625" style="203" customWidth="1"/>
    <col min="26" max="16384" width="12" style="203"/>
  </cols>
  <sheetData>
    <row r="1" spans="1:23" ht="18.75">
      <c r="A1" s="230" t="s">
        <v>158</v>
      </c>
    </row>
    <row r="2" spans="1:23" s="850" customFormat="1" ht="3.6" customHeight="1">
      <c r="I2" s="205"/>
      <c r="L2" s="143"/>
      <c r="M2" s="824"/>
      <c r="P2" s="824"/>
      <c r="Q2" s="1461"/>
      <c r="R2" s="1461"/>
      <c r="S2" s="824"/>
      <c r="T2" s="1461"/>
      <c r="U2" s="1461"/>
    </row>
    <row r="3" spans="1:23" s="1081" customFormat="1" ht="15.75" customHeight="1">
      <c r="L3"/>
      <c r="N3" s="1333">
        <v>2020</v>
      </c>
      <c r="O3" s="1085"/>
      <c r="P3" s="1461"/>
      <c r="Q3" s="1333">
        <v>2021</v>
      </c>
      <c r="R3" s="1085"/>
      <c r="S3" s="1461"/>
      <c r="T3" s="1333">
        <v>2022</v>
      </c>
      <c r="U3" s="1085"/>
    </row>
    <row r="4" spans="1:23" s="850" customFormat="1" ht="15.75" customHeight="1">
      <c r="L4" s="214">
        <v>2019</v>
      </c>
      <c r="M4" s="213"/>
      <c r="N4" s="214" t="s">
        <v>47</v>
      </c>
      <c r="O4" s="214" t="s">
        <v>842</v>
      </c>
      <c r="P4" s="213"/>
      <c r="Q4" s="214" t="s">
        <v>47</v>
      </c>
      <c r="R4" s="214" t="s">
        <v>842</v>
      </c>
      <c r="S4" s="213"/>
      <c r="T4" s="214" t="s">
        <v>47</v>
      </c>
      <c r="U4" s="214" t="s">
        <v>842</v>
      </c>
    </row>
    <row r="5" spans="1:23" s="850" customFormat="1" ht="7.5" customHeight="1">
      <c r="G5" s="243"/>
      <c r="L5" s="687"/>
      <c r="M5" s="227"/>
      <c r="N5" s="928"/>
      <c r="O5" s="928"/>
      <c r="P5" s="227"/>
      <c r="Q5" s="928"/>
      <c r="R5" s="928"/>
      <c r="S5" s="227"/>
      <c r="T5" s="928"/>
      <c r="U5" s="928"/>
    </row>
    <row r="6" spans="1:23" s="850" customFormat="1" ht="11.25">
      <c r="H6" s="1685" t="s">
        <v>719</v>
      </c>
      <c r="I6" s="1685"/>
      <c r="J6" s="1685"/>
      <c r="K6" s="1685"/>
      <c r="L6" s="219">
        <v>728</v>
      </c>
      <c r="M6" s="208"/>
      <c r="N6" s="219">
        <v>632</v>
      </c>
      <c r="O6" s="219">
        <v>401</v>
      </c>
      <c r="P6" s="208"/>
      <c r="Q6" s="219">
        <v>654</v>
      </c>
      <c r="R6" s="219">
        <v>396</v>
      </c>
      <c r="S6" s="208"/>
      <c r="T6" s="219">
        <v>650</v>
      </c>
      <c r="U6" s="219">
        <v>398</v>
      </c>
    </row>
    <row r="7" spans="1:23" s="850" customFormat="1" ht="11.25">
      <c r="I7" s="850" t="s">
        <v>195</v>
      </c>
      <c r="L7" s="218">
        <v>566</v>
      </c>
      <c r="M7" s="209"/>
      <c r="N7" s="218">
        <v>421</v>
      </c>
      <c r="O7" s="218">
        <v>278</v>
      </c>
      <c r="P7" s="209"/>
      <c r="Q7" s="218">
        <v>571</v>
      </c>
      <c r="R7" s="218">
        <v>314</v>
      </c>
      <c r="S7" s="209"/>
      <c r="T7" s="218">
        <v>583</v>
      </c>
      <c r="U7" s="218">
        <v>322</v>
      </c>
    </row>
    <row r="8" spans="1:23" s="850" customFormat="1" ht="11.25">
      <c r="I8" s="850" t="s">
        <v>495</v>
      </c>
      <c r="L8" s="218">
        <v>842</v>
      </c>
      <c r="M8" s="209"/>
      <c r="N8" s="218">
        <v>572</v>
      </c>
      <c r="O8" s="218">
        <v>365</v>
      </c>
      <c r="P8" s="209"/>
      <c r="Q8" s="218">
        <v>681</v>
      </c>
      <c r="R8" s="218">
        <v>431</v>
      </c>
      <c r="S8" s="209"/>
      <c r="T8" s="218">
        <v>720</v>
      </c>
      <c r="U8" s="218">
        <v>448</v>
      </c>
    </row>
    <row r="9" spans="1:23" s="850" customFormat="1" ht="11.25">
      <c r="I9" s="215" t="s">
        <v>176</v>
      </c>
      <c r="J9" s="215"/>
      <c r="K9" s="215"/>
      <c r="L9" s="220">
        <v>0.77747252747252749</v>
      </c>
      <c r="N9" s="220">
        <v>0.66613924050632911</v>
      </c>
      <c r="O9" s="220">
        <v>0.69326683291770574</v>
      </c>
      <c r="P9" s="1461"/>
      <c r="Q9" s="220">
        <v>0.8</v>
      </c>
      <c r="R9" s="220">
        <v>0.63</v>
      </c>
      <c r="S9" s="1461"/>
      <c r="T9" s="220"/>
      <c r="U9" s="220"/>
      <c r="V9" s="210"/>
      <c r="W9" s="210"/>
    </row>
    <row r="10" spans="1:23" s="850" customFormat="1" ht="7.5" customHeight="1">
      <c r="L10" s="489"/>
      <c r="M10" s="226"/>
      <c r="N10" s="489"/>
      <c r="O10" s="489"/>
      <c r="P10" s="226"/>
      <c r="Q10" s="489"/>
      <c r="R10" s="489"/>
      <c r="S10" s="226"/>
      <c r="T10" s="489"/>
      <c r="U10" s="489"/>
      <c r="V10" s="210"/>
      <c r="W10" s="210"/>
    </row>
    <row r="11" spans="1:23" s="850" customFormat="1" ht="12.75">
      <c r="G11" s="216" t="s">
        <v>177</v>
      </c>
      <c r="L11" s="489"/>
      <c r="M11" s="226"/>
      <c r="N11" s="489"/>
      <c r="O11" s="489"/>
      <c r="P11" s="226"/>
      <c r="Q11" s="489"/>
      <c r="R11" s="489"/>
      <c r="S11" s="226"/>
      <c r="T11" s="489"/>
      <c r="U11" s="489"/>
    </row>
    <row r="12" spans="1:23" s="850" customFormat="1" ht="7.5" customHeight="1">
      <c r="L12" s="489"/>
      <c r="M12" s="226"/>
      <c r="N12" s="489"/>
      <c r="O12" s="489"/>
      <c r="P12" s="226"/>
      <c r="Q12" s="489"/>
      <c r="R12" s="489"/>
      <c r="S12" s="226"/>
      <c r="T12" s="489"/>
      <c r="U12" s="489"/>
    </row>
    <row r="13" spans="1:23" s="850" customFormat="1" ht="11.25">
      <c r="H13" s="1685" t="s">
        <v>178</v>
      </c>
      <c r="I13" s="1685"/>
      <c r="J13" s="1685"/>
      <c r="K13" s="1685"/>
      <c r="L13" s="219">
        <v>294</v>
      </c>
      <c r="M13" s="211"/>
      <c r="N13" s="219">
        <v>291</v>
      </c>
      <c r="O13" s="219">
        <v>169</v>
      </c>
      <c r="P13" s="211"/>
      <c r="Q13" s="219">
        <v>347</v>
      </c>
      <c r="R13" s="219">
        <v>208</v>
      </c>
      <c r="S13" s="211"/>
      <c r="T13" s="219">
        <v>333</v>
      </c>
      <c r="U13" s="219">
        <v>197</v>
      </c>
    </row>
    <row r="14" spans="1:23" s="850" customFormat="1" ht="5.25" customHeight="1">
      <c r="L14" s="488"/>
      <c r="M14" s="209"/>
      <c r="N14" s="488"/>
      <c r="O14" s="488"/>
      <c r="P14" s="209"/>
      <c r="Q14" s="488"/>
      <c r="R14" s="488"/>
      <c r="S14" s="209"/>
      <c r="T14" s="488"/>
      <c r="U14" s="488"/>
      <c r="V14" s="210"/>
      <c r="W14" s="210"/>
    </row>
    <row r="15" spans="1:23" s="850" customFormat="1" ht="11.25">
      <c r="I15" s="1686" t="s">
        <v>183</v>
      </c>
      <c r="J15" s="1686"/>
      <c r="K15" s="1686"/>
      <c r="L15" s="218">
        <v>309</v>
      </c>
      <c r="M15" s="209"/>
      <c r="N15" s="218">
        <v>298</v>
      </c>
      <c r="O15" s="218">
        <v>137</v>
      </c>
      <c r="P15" s="209"/>
      <c r="Q15" s="218">
        <v>290</v>
      </c>
      <c r="R15" s="218">
        <v>141</v>
      </c>
      <c r="S15" s="209"/>
      <c r="T15" s="218">
        <v>261</v>
      </c>
      <c r="U15" s="218">
        <v>126</v>
      </c>
      <c r="V15" s="210"/>
      <c r="W15" s="210"/>
    </row>
    <row r="16" spans="1:23" s="850" customFormat="1" ht="11.25">
      <c r="I16" s="1686" t="s">
        <v>184</v>
      </c>
      <c r="J16" s="1686"/>
      <c r="K16" s="1686"/>
      <c r="L16" s="218">
        <v>87</v>
      </c>
      <c r="M16" s="209"/>
      <c r="N16" s="218">
        <v>84</v>
      </c>
      <c r="O16" s="218" t="s">
        <v>841</v>
      </c>
      <c r="P16" s="209"/>
      <c r="Q16" s="218">
        <v>63</v>
      </c>
      <c r="R16" s="218" t="s">
        <v>841</v>
      </c>
      <c r="S16" s="209"/>
      <c r="T16" s="218">
        <v>61</v>
      </c>
      <c r="U16" s="218" t="s">
        <v>841</v>
      </c>
    </row>
    <row r="17" spans="4:21" s="850" customFormat="1" ht="11.25">
      <c r="I17" s="850" t="s">
        <v>185</v>
      </c>
      <c r="L17" s="218">
        <v>184</v>
      </c>
      <c r="M17" s="209"/>
      <c r="N17" s="218">
        <v>181</v>
      </c>
      <c r="O17" s="218" t="s">
        <v>841</v>
      </c>
      <c r="P17" s="209"/>
      <c r="Q17" s="218">
        <v>173</v>
      </c>
      <c r="R17" s="218" t="s">
        <v>841</v>
      </c>
      <c r="S17" s="209"/>
      <c r="T17" s="218">
        <v>172</v>
      </c>
      <c r="U17" s="218" t="s">
        <v>841</v>
      </c>
    </row>
    <row r="18" spans="4:21" s="850" customFormat="1" ht="11.25">
      <c r="I18" s="850" t="s">
        <v>622</v>
      </c>
      <c r="L18" s="218">
        <v>75</v>
      </c>
      <c r="N18" s="218">
        <v>36</v>
      </c>
      <c r="O18" s="218">
        <v>21</v>
      </c>
      <c r="P18" s="1461"/>
      <c r="Q18" s="218">
        <v>29</v>
      </c>
      <c r="R18" s="218">
        <v>18</v>
      </c>
      <c r="S18" s="1461"/>
      <c r="T18" s="218">
        <v>32</v>
      </c>
      <c r="U18" s="218">
        <v>19</v>
      </c>
    </row>
    <row r="19" spans="4:21" s="850" customFormat="1" ht="11.25" customHeight="1">
      <c r="I19" s="1686" t="s">
        <v>189</v>
      </c>
      <c r="J19" s="1686"/>
      <c r="K19" s="1686"/>
      <c r="L19" s="218">
        <v>27</v>
      </c>
      <c r="M19" s="209"/>
      <c r="N19" s="218">
        <v>14</v>
      </c>
      <c r="O19" s="218">
        <v>6</v>
      </c>
      <c r="P19" s="209"/>
      <c r="Q19" s="218">
        <v>27</v>
      </c>
      <c r="R19" s="218">
        <v>7</v>
      </c>
      <c r="S19" s="209"/>
      <c r="T19" s="218">
        <v>30</v>
      </c>
      <c r="U19" s="218">
        <v>8</v>
      </c>
    </row>
    <row r="20" spans="4:21" s="850" customFormat="1" ht="11.25" customHeight="1">
      <c r="I20" s="850" t="s">
        <v>192</v>
      </c>
      <c r="L20" s="218">
        <v>79</v>
      </c>
      <c r="M20" s="209"/>
      <c r="N20" s="218">
        <v>47</v>
      </c>
      <c r="O20" s="218">
        <v>32</v>
      </c>
      <c r="P20" s="209"/>
      <c r="Q20" s="218">
        <v>109</v>
      </c>
      <c r="R20" s="218">
        <v>64</v>
      </c>
      <c r="S20" s="209"/>
      <c r="T20" s="218">
        <v>134</v>
      </c>
      <c r="U20" s="218">
        <v>71</v>
      </c>
    </row>
    <row r="21" spans="4:21" s="850" customFormat="1" ht="11.25">
      <c r="I21" s="1330" t="s">
        <v>967</v>
      </c>
      <c r="L21" s="218">
        <v>4</v>
      </c>
      <c r="M21" s="209"/>
      <c r="N21" s="218"/>
      <c r="O21" s="218"/>
      <c r="P21" s="209"/>
      <c r="Q21" s="218">
        <v>5</v>
      </c>
      <c r="R21" s="218"/>
      <c r="S21" s="209"/>
      <c r="T21" s="218">
        <v>9</v>
      </c>
      <c r="U21" s="218"/>
    </row>
    <row r="22" spans="4:21" s="850" customFormat="1" ht="11.25">
      <c r="I22" s="757"/>
      <c r="L22" s="757"/>
      <c r="N22" s="757"/>
      <c r="O22" s="757"/>
      <c r="P22" s="1461"/>
      <c r="Q22" s="757"/>
      <c r="R22" s="757"/>
      <c r="S22" s="1461"/>
      <c r="T22" s="757"/>
      <c r="U22" s="757"/>
    </row>
    <row r="23" spans="4:21" s="850" customFormat="1" ht="11.65" customHeight="1">
      <c r="G23" s="216" t="s">
        <v>179</v>
      </c>
      <c r="L23" s="758"/>
      <c r="M23" s="226"/>
      <c r="N23" s="758"/>
      <c r="O23" s="758"/>
      <c r="P23" s="226"/>
      <c r="Q23" s="758"/>
      <c r="R23" s="758"/>
      <c r="S23" s="226"/>
      <c r="T23" s="758"/>
      <c r="U23" s="758"/>
    </row>
    <row r="24" spans="4:21" s="850" customFormat="1" ht="5.65" customHeight="1">
      <c r="L24" s="758"/>
      <c r="M24" s="226"/>
      <c r="N24" s="758"/>
      <c r="O24" s="758"/>
      <c r="P24" s="226"/>
      <c r="Q24" s="758"/>
      <c r="R24" s="758"/>
      <c r="S24" s="226"/>
      <c r="T24" s="758"/>
      <c r="U24" s="758"/>
    </row>
    <row r="25" spans="4:21" s="850" customFormat="1" ht="11.65" customHeight="1">
      <c r="H25" s="1684" t="s">
        <v>180</v>
      </c>
      <c r="I25" s="1684"/>
      <c r="J25" s="1684"/>
      <c r="K25" s="1684"/>
      <c r="L25" s="221">
        <v>951</v>
      </c>
      <c r="M25" s="211"/>
      <c r="N25" s="221">
        <v>581</v>
      </c>
      <c r="O25" s="1462"/>
      <c r="P25" s="211"/>
      <c r="Q25" s="221">
        <v>593</v>
      </c>
      <c r="R25" s="1462"/>
      <c r="S25" s="211"/>
      <c r="T25" s="221">
        <v>568</v>
      </c>
      <c r="U25" s="1462"/>
    </row>
    <row r="26" spans="4:21" s="850" customFormat="1" ht="11.25">
      <c r="L26" s="489"/>
      <c r="M26" s="225"/>
      <c r="N26" s="489"/>
      <c r="O26" s="489"/>
      <c r="P26" s="225"/>
      <c r="Q26" s="489"/>
      <c r="R26" s="489"/>
      <c r="S26" s="225"/>
      <c r="T26" s="489"/>
      <c r="U26" s="489"/>
    </row>
    <row r="27" spans="4:21" s="850" customFormat="1" ht="13.15" customHeight="1">
      <c r="G27" s="216" t="s">
        <v>186</v>
      </c>
      <c r="L27" s="489"/>
      <c r="M27" s="225"/>
      <c r="N27" s="489"/>
      <c r="O27" s="489"/>
      <c r="P27" s="225"/>
      <c r="Q27" s="489"/>
      <c r="R27" s="489"/>
      <c r="S27" s="225"/>
      <c r="T27" s="489"/>
      <c r="U27" s="489"/>
    </row>
    <row r="28" spans="4:21" s="850" customFormat="1" ht="5.65" customHeight="1">
      <c r="L28" s="489"/>
      <c r="M28" s="225"/>
      <c r="N28" s="489"/>
      <c r="O28" s="489"/>
      <c r="P28" s="225"/>
      <c r="Q28" s="489"/>
      <c r="R28" s="489"/>
      <c r="S28" s="225"/>
      <c r="T28" s="489"/>
      <c r="U28" s="489"/>
    </row>
    <row r="29" spans="4:21" s="850" customFormat="1" ht="11.25">
      <c r="H29" s="849" t="s">
        <v>181</v>
      </c>
      <c r="I29" s="849"/>
      <c r="J29" s="849"/>
      <c r="K29" s="849"/>
      <c r="L29" s="221">
        <v>14</v>
      </c>
      <c r="M29" s="212"/>
      <c r="N29" s="221">
        <v>66</v>
      </c>
      <c r="O29" s="221">
        <v>31</v>
      </c>
      <c r="P29" s="212"/>
      <c r="Q29" s="221">
        <v>61</v>
      </c>
      <c r="R29" s="221">
        <v>29</v>
      </c>
      <c r="S29" s="212"/>
      <c r="T29" s="221">
        <v>69</v>
      </c>
      <c r="U29" s="221">
        <v>32</v>
      </c>
    </row>
    <row r="30" spans="4:21" s="850" customFormat="1" ht="11.25">
      <c r="I30" s="850" t="s">
        <v>194</v>
      </c>
      <c r="L30" s="218">
        <v>11</v>
      </c>
      <c r="M30" s="206"/>
      <c r="N30" s="218">
        <v>61</v>
      </c>
      <c r="O30" s="218">
        <v>29</v>
      </c>
      <c r="P30" s="206"/>
      <c r="Q30" s="218">
        <v>58</v>
      </c>
      <c r="R30" s="218">
        <v>31</v>
      </c>
      <c r="S30" s="206"/>
      <c r="T30" s="218">
        <v>62</v>
      </c>
      <c r="U30" s="218"/>
    </row>
    <row r="31" spans="4:21" s="850" customFormat="1" ht="11.25">
      <c r="D31" s="207"/>
      <c r="I31" s="850" t="s">
        <v>193</v>
      </c>
      <c r="L31" s="218">
        <v>1</v>
      </c>
      <c r="M31" s="206"/>
      <c r="N31" s="218">
        <v>3</v>
      </c>
      <c r="O31" s="218">
        <v>2</v>
      </c>
      <c r="P31" s="206"/>
      <c r="Q31" s="218">
        <v>2</v>
      </c>
      <c r="R31" s="218">
        <v>2</v>
      </c>
      <c r="S31" s="206"/>
      <c r="T31" s="218">
        <v>6</v>
      </c>
      <c r="U31" s="218">
        <v>5</v>
      </c>
    </row>
    <row r="32" spans="4:21" s="850" customFormat="1" ht="11.25">
      <c r="I32" s="850" t="s">
        <v>187</v>
      </c>
      <c r="L32" s="218"/>
      <c r="M32" s="206"/>
      <c r="N32" s="218"/>
      <c r="O32" s="218"/>
      <c r="P32" s="206"/>
      <c r="Q32" s="218"/>
      <c r="R32" s="218"/>
      <c r="S32" s="206"/>
      <c r="T32" s="218"/>
      <c r="U32" s="218"/>
    </row>
    <row r="33" spans="7:22" s="850" customFormat="1" ht="11.25">
      <c r="I33" s="850" t="s">
        <v>397</v>
      </c>
      <c r="L33" s="218">
        <v>1</v>
      </c>
      <c r="M33" s="206"/>
      <c r="N33" s="218">
        <v>1</v>
      </c>
      <c r="O33" s="218"/>
      <c r="P33" s="206"/>
      <c r="Q33" s="218">
        <v>1</v>
      </c>
      <c r="R33" s="218"/>
      <c r="S33" s="206"/>
      <c r="T33" s="218">
        <v>1</v>
      </c>
      <c r="U33" s="218"/>
    </row>
    <row r="34" spans="7:22" s="850" customFormat="1" ht="11.25">
      <c r="I34" s="850" t="s">
        <v>601</v>
      </c>
      <c r="L34" s="218">
        <v>1</v>
      </c>
      <c r="N34" s="218">
        <v>1</v>
      </c>
      <c r="O34" s="218"/>
      <c r="P34" s="1461"/>
      <c r="Q34" s="218"/>
      <c r="R34" s="218"/>
      <c r="S34" s="1461"/>
      <c r="T34" s="218"/>
      <c r="U34" s="218"/>
    </row>
    <row r="35" spans="7:22" s="850" customFormat="1" ht="6.6" customHeight="1">
      <c r="L35" s="225"/>
      <c r="M35" s="688"/>
      <c r="N35" s="225"/>
      <c r="O35" s="225"/>
      <c r="P35" s="688"/>
      <c r="Q35" s="225"/>
      <c r="R35" s="225"/>
      <c r="S35" s="688"/>
      <c r="T35" s="225"/>
      <c r="U35" s="225"/>
    </row>
    <row r="36" spans="7:22" s="850" customFormat="1" ht="9.6" customHeight="1">
      <c r="I36" s="850" t="s">
        <v>398</v>
      </c>
      <c r="L36" s="222">
        <v>29</v>
      </c>
      <c r="N36" s="222">
        <v>17</v>
      </c>
      <c r="O36" s="222">
        <v>9</v>
      </c>
      <c r="P36" s="1461"/>
      <c r="Q36" s="222">
        <v>29</v>
      </c>
      <c r="R36" s="222">
        <v>18</v>
      </c>
      <c r="S36" s="1461"/>
      <c r="T36" s="222">
        <v>34</v>
      </c>
      <c r="U36" s="222">
        <v>21</v>
      </c>
    </row>
    <row r="37" spans="7:22" s="850" customFormat="1" ht="11.25">
      <c r="L37" s="489"/>
      <c r="M37" s="225"/>
      <c r="N37" s="489"/>
      <c r="O37" s="489"/>
      <c r="P37" s="225"/>
      <c r="Q37" s="489"/>
      <c r="R37" s="489"/>
      <c r="S37" s="225"/>
      <c r="T37" s="489"/>
      <c r="U37" s="489"/>
    </row>
    <row r="38" spans="7:22" s="850" customFormat="1" ht="12" customHeight="1">
      <c r="G38" s="216" t="s">
        <v>188</v>
      </c>
      <c r="L38" s="222">
        <v>57</v>
      </c>
      <c r="M38" s="206"/>
      <c r="N38" s="222">
        <v>49</v>
      </c>
      <c r="O38" s="222">
        <v>22</v>
      </c>
      <c r="P38" s="206"/>
      <c r="Q38" s="222">
        <v>76</v>
      </c>
      <c r="R38" s="222">
        <v>42</v>
      </c>
      <c r="S38" s="206"/>
      <c r="T38" s="222">
        <v>54</v>
      </c>
      <c r="U38" s="222">
        <v>33</v>
      </c>
    </row>
    <row r="39" spans="7:22" s="850" customFormat="1" ht="7.5" customHeight="1">
      <c r="G39" s="216"/>
      <c r="L39" s="490"/>
      <c r="M39" s="225"/>
      <c r="N39" s="490"/>
      <c r="O39" s="490"/>
      <c r="P39" s="225"/>
      <c r="Q39" s="490"/>
      <c r="R39" s="490"/>
      <c r="S39" s="225"/>
      <c r="T39" s="490"/>
      <c r="U39" s="490"/>
    </row>
    <row r="40" spans="7:22" s="850" customFormat="1" ht="11.25">
      <c r="L40" s="489"/>
      <c r="M40" s="225"/>
      <c r="N40" s="489"/>
      <c r="O40" s="489"/>
      <c r="P40" s="225"/>
      <c r="Q40" s="489"/>
      <c r="R40" s="489"/>
      <c r="S40" s="225"/>
      <c r="T40" s="489"/>
      <c r="U40" s="489"/>
    </row>
    <row r="41" spans="7:22" s="850" customFormat="1" ht="12.6" customHeight="1">
      <c r="G41" s="216" t="s">
        <v>182</v>
      </c>
      <c r="L41" s="489"/>
      <c r="M41" s="225"/>
      <c r="N41" s="489"/>
      <c r="O41" s="489"/>
      <c r="P41" s="225"/>
      <c r="Q41" s="489"/>
      <c r="R41" s="489"/>
      <c r="S41" s="225"/>
      <c r="T41" s="489"/>
      <c r="U41" s="489"/>
    </row>
    <row r="42" spans="7:22" s="850" customFormat="1" ht="11.25">
      <c r="L42" s="489"/>
      <c r="M42" s="225"/>
      <c r="N42" s="489"/>
      <c r="O42" s="489"/>
      <c r="P42" s="225"/>
      <c r="Q42" s="489"/>
      <c r="R42" s="489"/>
      <c r="S42" s="225"/>
      <c r="T42" s="489"/>
      <c r="U42" s="489"/>
    </row>
    <row r="43" spans="7:22" s="850" customFormat="1" ht="11.25">
      <c r="H43" s="850" t="s">
        <v>190</v>
      </c>
      <c r="L43" s="218">
        <v>11</v>
      </c>
      <c r="M43" s="206"/>
      <c r="N43" s="218">
        <v>9</v>
      </c>
      <c r="O43" s="218"/>
      <c r="P43" s="206"/>
      <c r="Q43" s="218">
        <v>9</v>
      </c>
      <c r="R43" s="218">
        <v>8</v>
      </c>
      <c r="S43" s="206"/>
      <c r="T43" s="218">
        <v>13</v>
      </c>
      <c r="U43" s="218"/>
    </row>
    <row r="44" spans="7:22" s="850" customFormat="1" ht="11.25">
      <c r="H44" s="850" t="s">
        <v>191</v>
      </c>
      <c r="L44" s="218">
        <v>1</v>
      </c>
      <c r="M44" s="206"/>
      <c r="N44" s="218">
        <v>2</v>
      </c>
      <c r="O44" s="218">
        <v>2</v>
      </c>
      <c r="P44" s="206"/>
      <c r="Q44" s="218">
        <v>6</v>
      </c>
      <c r="R44" s="218">
        <v>5</v>
      </c>
      <c r="S44" s="206"/>
      <c r="T44" s="218">
        <v>7</v>
      </c>
      <c r="U44" s="218">
        <v>6</v>
      </c>
    </row>
    <row r="45" spans="7:22" s="850" customFormat="1" ht="11.25">
      <c r="H45" s="757"/>
      <c r="L45" s="206"/>
      <c r="M45" s="206"/>
      <c r="N45" s="206"/>
      <c r="O45" s="206"/>
      <c r="P45" s="206"/>
      <c r="Q45" s="206"/>
      <c r="R45" s="206"/>
      <c r="S45" s="206"/>
      <c r="T45" s="206"/>
      <c r="U45" s="206"/>
      <c r="V45" s="1330"/>
    </row>
    <row r="46" spans="7:22" s="850" customFormat="1" ht="11.25">
      <c r="H46" s="757"/>
      <c r="L46" s="206"/>
      <c r="M46" s="206"/>
      <c r="N46" s="206"/>
      <c r="O46" s="206"/>
      <c r="P46" s="206"/>
      <c r="Q46" s="206"/>
      <c r="R46" s="206"/>
      <c r="S46" s="206"/>
      <c r="T46" s="206"/>
      <c r="U46" s="206"/>
      <c r="V46" s="1330"/>
    </row>
    <row r="47" spans="7:22" s="850" customFormat="1" ht="11.25">
      <c r="L47" s="491"/>
      <c r="M47" s="206"/>
      <c r="N47" s="491"/>
      <c r="O47" s="491"/>
      <c r="P47" s="206"/>
      <c r="Q47" s="491"/>
      <c r="R47" s="491"/>
      <c r="S47" s="206"/>
      <c r="T47" s="491"/>
      <c r="U47" s="491"/>
      <c r="V47" s="1330"/>
    </row>
    <row r="48" spans="7:22" s="850" customFormat="1" ht="11.25">
      <c r="G48"/>
      <c r="H48"/>
      <c r="I48"/>
      <c r="J48"/>
      <c r="K48"/>
      <c r="L48"/>
      <c r="M48"/>
      <c r="N48"/>
      <c r="O48"/>
      <c r="P48" s="1161"/>
      <c r="Q48" s="1161"/>
      <c r="R48" s="1161"/>
      <c r="S48" s="1161"/>
      <c r="T48" s="1161"/>
      <c r="U48" s="1161"/>
      <c r="V48" s="1330"/>
    </row>
    <row r="49" spans="12:22" s="850" customFormat="1" ht="11.25">
      <c r="L49" s="206"/>
      <c r="M49" s="206"/>
      <c r="N49" s="759"/>
      <c r="O49" s="759"/>
      <c r="P49" s="206"/>
      <c r="Q49" s="759"/>
      <c r="R49" s="759"/>
      <c r="S49" s="206"/>
      <c r="T49" s="759"/>
      <c r="U49" s="759"/>
      <c r="V49" s="1330"/>
    </row>
    <row r="50" spans="12:22" s="850" customFormat="1" ht="17.25" customHeight="1">
      <c r="L50" s="206"/>
      <c r="M50" s="206"/>
      <c r="N50" s="759"/>
      <c r="O50" s="759"/>
      <c r="P50" s="206"/>
      <c r="Q50" s="759"/>
      <c r="R50" s="759"/>
      <c r="S50" s="206"/>
      <c r="T50" s="759"/>
      <c r="U50" s="759"/>
      <c r="V50" s="1330"/>
    </row>
    <row r="51" spans="12:22" s="1081" customFormat="1" ht="17.25" customHeight="1">
      <c r="L51" s="206"/>
      <c r="M51" s="206"/>
      <c r="N51" s="759"/>
      <c r="O51" s="759"/>
      <c r="P51" s="206"/>
      <c r="Q51" s="759"/>
      <c r="R51" s="759"/>
      <c r="S51" s="206"/>
      <c r="T51" s="759"/>
      <c r="U51" s="759"/>
      <c r="V51" s="1330"/>
    </row>
    <row r="52" spans="12:22" s="1081" customFormat="1" ht="17.25" customHeight="1">
      <c r="L52" s="206"/>
      <c r="M52" s="206"/>
      <c r="N52" s="759"/>
      <c r="O52" s="759"/>
      <c r="P52" s="206"/>
      <c r="Q52" s="759"/>
      <c r="R52" s="759"/>
      <c r="S52" s="206"/>
      <c r="T52" s="759"/>
      <c r="U52" s="759"/>
      <c r="V52" s="1330"/>
    </row>
    <row r="53" spans="12:22" s="1081" customFormat="1" ht="17.25" customHeight="1">
      <c r="L53" s="206"/>
      <c r="M53" s="206"/>
      <c r="N53" s="759"/>
      <c r="O53" s="759"/>
      <c r="P53" s="206"/>
      <c r="Q53" s="759"/>
      <c r="R53" s="759"/>
      <c r="S53" s="206"/>
      <c r="T53" s="759"/>
      <c r="U53" s="759"/>
      <c r="V53" s="1330"/>
    </row>
    <row r="54" spans="12:22" s="1081" customFormat="1" ht="17.25" customHeight="1">
      <c r="L54" s="206"/>
      <c r="M54" s="206"/>
      <c r="N54" s="759"/>
      <c r="O54" s="759"/>
      <c r="P54" s="206"/>
      <c r="Q54" s="759"/>
      <c r="R54" s="759"/>
      <c r="S54" s="206"/>
      <c r="T54" s="759"/>
      <c r="U54" s="759"/>
      <c r="V54" s="1330"/>
    </row>
    <row r="55" spans="12:22" s="204" customFormat="1" ht="17.25" customHeight="1">
      <c r="L55" s="223"/>
      <c r="M55" s="223"/>
      <c r="N55" s="759"/>
      <c r="O55" s="759"/>
      <c r="P55" s="223"/>
      <c r="Q55" s="759"/>
      <c r="R55" s="759"/>
      <c r="S55" s="223"/>
      <c r="T55" s="759"/>
      <c r="U55" s="759"/>
    </row>
    <row r="56" spans="12:22" s="204" customFormat="1" ht="17.25" customHeight="1">
      <c r="L56" s="223"/>
      <c r="M56" s="223"/>
      <c r="N56" s="759"/>
      <c r="O56" s="759"/>
      <c r="P56" s="223"/>
      <c r="Q56" s="759"/>
      <c r="R56" s="759"/>
      <c r="S56" s="223"/>
      <c r="T56" s="759"/>
      <c r="U56" s="759"/>
    </row>
    <row r="57" spans="12:22" ht="21.75" customHeight="1">
      <c r="L57" s="224"/>
      <c r="M57" s="224"/>
      <c r="N57" s="825"/>
      <c r="O57" s="825"/>
      <c r="P57" s="224"/>
      <c r="Q57" s="825"/>
      <c r="R57" s="825"/>
      <c r="S57" s="224"/>
      <c r="T57" s="825"/>
      <c r="U57" s="825"/>
    </row>
  </sheetData>
  <mergeCells count="6">
    <mergeCell ref="H25:K25"/>
    <mergeCell ref="H6:K6"/>
    <mergeCell ref="H13:K13"/>
    <mergeCell ref="I15:K15"/>
    <mergeCell ref="I16:K16"/>
    <mergeCell ref="I19:K19"/>
  </mergeCells>
  <pageMargins left="0.11811023622047245" right="0.11811023622047245" top="0.35433070866141736" bottom="0.35433070866141736" header="0.31496062992125984" footer="0.31496062992125984"/>
  <pageSetup paperSize="9" scale="67" fitToHeight="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92D050"/>
  </sheetPr>
  <dimension ref="A1:P80"/>
  <sheetViews>
    <sheetView showGridLines="0" topLeftCell="A28" zoomScaleNormal="100" zoomScaleSheetLayoutView="100" workbookViewId="0">
      <selection activeCell="Y49" sqref="Y49"/>
    </sheetView>
  </sheetViews>
  <sheetFormatPr baseColWidth="10" defaultColWidth="12" defaultRowHeight="11.25"/>
  <cols>
    <col min="1" max="1" width="9.6640625" style="56" customWidth="1"/>
    <col min="2" max="5" width="12" style="56" customWidth="1"/>
    <col min="6" max="7" width="12" style="56"/>
    <col min="8" max="8" width="20.6640625" style="56" customWidth="1"/>
    <col min="9" max="9" width="6.6640625" style="56" customWidth="1"/>
    <col min="10" max="10" width="24.1640625" style="56" customWidth="1"/>
    <col min="11" max="12" width="12" style="56"/>
    <col min="13" max="13" width="12" style="56" customWidth="1"/>
    <col min="14" max="14" width="2.1640625" style="56" customWidth="1"/>
    <col min="15" max="16384" width="12" style="56"/>
  </cols>
  <sheetData>
    <row r="1" spans="1:11" ht="21">
      <c r="A1" s="174" t="s">
        <v>333</v>
      </c>
    </row>
    <row r="2" spans="1:11" ht="9" customHeight="1"/>
    <row r="3" spans="1:11" ht="15.75" customHeight="1">
      <c r="A3" s="230" t="s">
        <v>667</v>
      </c>
    </row>
    <row r="4" spans="1:11" ht="15.75" customHeight="1" thickBot="1"/>
    <row r="5" spans="1:11" ht="63.75" customHeight="1" thickBot="1">
      <c r="C5" s="1692" t="s">
        <v>985</v>
      </c>
      <c r="D5" s="1701"/>
      <c r="E5" s="1696" t="s">
        <v>986</v>
      </c>
      <c r="F5" s="1697"/>
      <c r="G5" s="1697"/>
      <c r="H5" s="1697"/>
      <c r="J5" s="231"/>
    </row>
    <row r="6" spans="1:11" ht="32.25" customHeight="1" thickBot="1">
      <c r="C6" s="1702" t="s">
        <v>850</v>
      </c>
      <c r="D6" s="1701"/>
      <c r="E6" s="1696" t="s">
        <v>987</v>
      </c>
      <c r="F6" s="1698"/>
      <c r="G6" s="1698"/>
      <c r="H6" s="1698"/>
      <c r="J6" s="231"/>
      <c r="K6" s="57"/>
    </row>
    <row r="7" spans="1:11" ht="32.25" customHeight="1" thickBot="1">
      <c r="C7" s="1702" t="s">
        <v>849</v>
      </c>
      <c r="D7" s="1701"/>
      <c r="E7" s="1699" t="s">
        <v>437</v>
      </c>
      <c r="F7" s="1700"/>
      <c r="G7" s="1700"/>
      <c r="H7" s="1700"/>
      <c r="J7" s="282"/>
      <c r="K7" s="57"/>
    </row>
    <row r="8" spans="1:11" ht="6.6" customHeight="1">
      <c r="E8" s="202"/>
      <c r="K8" s="57"/>
    </row>
    <row r="9" spans="1:11" ht="15.75" customHeight="1">
      <c r="A9" s="230" t="s">
        <v>668</v>
      </c>
      <c r="E9" s="202"/>
      <c r="K9" s="57"/>
    </row>
    <row r="10" spans="1:11" ht="15.75" customHeight="1">
      <c r="A10" s="197"/>
      <c r="E10" s="202"/>
      <c r="K10" s="57"/>
    </row>
    <row r="11" spans="1:11" ht="15.75" customHeight="1">
      <c r="A11" s="197"/>
      <c r="E11" s="202"/>
      <c r="K11" s="57"/>
    </row>
    <row r="12" spans="1:11" ht="15.75" customHeight="1">
      <c r="A12" s="197"/>
      <c r="E12" s="202"/>
      <c r="K12" s="57"/>
    </row>
    <row r="13" spans="1:11" ht="15.75" customHeight="1">
      <c r="A13" s="197"/>
      <c r="E13" s="202"/>
      <c r="K13" s="57"/>
    </row>
    <row r="14" spans="1:11" ht="15.75" customHeight="1">
      <c r="A14" s="197"/>
      <c r="E14" s="202"/>
      <c r="K14" s="57"/>
    </row>
    <row r="15" spans="1:11" ht="12.75">
      <c r="A15" s="197"/>
      <c r="B15" s="65"/>
      <c r="C15" s="57"/>
      <c r="D15" s="57"/>
      <c r="E15" s="57"/>
      <c r="F15" s="57"/>
      <c r="G15" s="57"/>
      <c r="H15" s="57"/>
      <c r="I15" s="57"/>
      <c r="J15" s="57"/>
      <c r="K15" s="57"/>
    </row>
    <row r="16" spans="1:11" ht="12.75">
      <c r="A16" s="197"/>
      <c r="B16" s="65"/>
      <c r="C16" s="57"/>
      <c r="D16" s="57"/>
      <c r="E16" s="57"/>
      <c r="F16" s="57"/>
      <c r="G16" s="57"/>
      <c r="H16" s="57"/>
      <c r="I16" s="57"/>
      <c r="J16" s="57"/>
      <c r="K16" s="57"/>
    </row>
    <row r="17" spans="1:11" ht="18.75">
      <c r="A17" s="230" t="s">
        <v>669</v>
      </c>
      <c r="C17" s="57"/>
      <c r="D17" s="57"/>
      <c r="E17" s="197"/>
      <c r="F17" s="57"/>
      <c r="G17" s="57"/>
      <c r="H17" s="57"/>
      <c r="I17" s="57"/>
      <c r="J17" s="57"/>
      <c r="K17" s="57"/>
    </row>
    <row r="18" spans="1:11" ht="18.75">
      <c r="A18" s="865"/>
      <c r="C18" s="57"/>
      <c r="D18" s="57"/>
      <c r="E18" s="197"/>
      <c r="F18" s="57"/>
      <c r="G18" s="57"/>
      <c r="H18" s="57"/>
      <c r="I18" s="57"/>
      <c r="J18" s="57"/>
      <c r="K18" s="57"/>
    </row>
    <row r="19" spans="1:11" ht="12.75">
      <c r="C19" s="57"/>
      <c r="D19" s="57"/>
      <c r="E19" s="197"/>
      <c r="F19" s="57"/>
      <c r="G19" s="57"/>
      <c r="H19" s="57"/>
      <c r="I19" s="57"/>
      <c r="J19" s="57"/>
      <c r="K19" s="57"/>
    </row>
    <row r="20" spans="1:11" ht="12.75">
      <c r="A20" s="197"/>
      <c r="B20" s="197"/>
      <c r="C20" s="197"/>
      <c r="D20" s="57"/>
      <c r="E20" s="197"/>
      <c r="F20" s="57"/>
      <c r="G20" s="57"/>
      <c r="H20" s="57"/>
      <c r="I20" s="57"/>
      <c r="J20" s="57"/>
      <c r="K20" s="57"/>
    </row>
    <row r="21" spans="1:11" ht="27" customHeight="1">
      <c r="A21" s="197"/>
      <c r="B21" s="197"/>
      <c r="C21" s="197"/>
      <c r="D21" s="57"/>
      <c r="E21" s="197"/>
      <c r="F21" s="57"/>
      <c r="G21" s="57"/>
      <c r="H21" s="57"/>
      <c r="I21" s="57"/>
      <c r="J21" s="57"/>
      <c r="K21" s="57"/>
    </row>
    <row r="22" spans="1:11" ht="12" customHeight="1">
      <c r="A22" s="197"/>
      <c r="B22" s="197"/>
      <c r="C22" s="197"/>
      <c r="D22" s="57"/>
      <c r="E22" s="197"/>
      <c r="F22" s="57"/>
      <c r="G22" s="57"/>
      <c r="H22" s="57"/>
      <c r="I22" s="57"/>
      <c r="J22" s="57"/>
      <c r="K22" s="57"/>
    </row>
    <row r="23" spans="1:11" ht="12" customHeight="1">
      <c r="A23" s="197"/>
      <c r="B23" s="197"/>
      <c r="C23" s="197"/>
      <c r="D23" s="57"/>
      <c r="E23" s="197"/>
      <c r="F23" s="57"/>
      <c r="G23" s="57"/>
      <c r="H23" s="57"/>
      <c r="I23" s="57"/>
      <c r="J23" s="57"/>
      <c r="K23" s="57"/>
    </row>
    <row r="24" spans="1:11" ht="12" customHeight="1">
      <c r="A24" s="197"/>
      <c r="B24" s="197"/>
      <c r="C24" s="197"/>
      <c r="D24" s="57"/>
      <c r="E24" s="197"/>
      <c r="F24" s="57"/>
      <c r="G24" s="57"/>
      <c r="H24" s="57"/>
      <c r="I24" s="57"/>
      <c r="J24" s="57"/>
      <c r="K24" s="57"/>
    </row>
    <row r="25" spans="1:11" ht="12" customHeight="1">
      <c r="A25" s="197"/>
      <c r="B25" s="197"/>
      <c r="C25" s="197"/>
      <c r="D25" s="57"/>
      <c r="E25" s="197"/>
      <c r="F25" s="57"/>
      <c r="G25" s="57"/>
      <c r="H25" s="57"/>
      <c r="I25" s="57"/>
      <c r="J25" s="57"/>
      <c r="K25" s="57"/>
    </row>
    <row r="26" spans="1:11" ht="12" customHeight="1">
      <c r="A26" s="197"/>
      <c r="B26" s="197"/>
      <c r="C26" s="197"/>
      <c r="D26" s="59"/>
      <c r="E26" s="456"/>
      <c r="F26" s="57"/>
      <c r="G26" s="57"/>
      <c r="H26" s="57"/>
      <c r="I26" s="57"/>
      <c r="J26" s="57"/>
      <c r="K26" s="57"/>
    </row>
    <row r="27" spans="1:11" ht="12" customHeight="1">
      <c r="A27" s="197"/>
      <c r="B27" s="197"/>
      <c r="C27" s="197"/>
      <c r="D27" s="57"/>
      <c r="E27" s="197"/>
      <c r="F27" s="57"/>
      <c r="G27" s="57"/>
      <c r="H27" s="57"/>
      <c r="I27" s="57"/>
      <c r="J27" s="57"/>
      <c r="K27" s="57"/>
    </row>
    <row r="28" spans="1:11" ht="12" customHeight="1">
      <c r="A28" s="197"/>
      <c r="B28" s="197"/>
      <c r="C28" s="197"/>
      <c r="D28" s="57"/>
      <c r="E28" s="197"/>
      <c r="F28" s="57"/>
      <c r="G28" s="57"/>
      <c r="H28" s="57"/>
      <c r="I28" s="57"/>
      <c r="J28" s="57"/>
      <c r="K28" s="57"/>
    </row>
    <row r="29" spans="1:11" ht="12" customHeight="1">
      <c r="B29" s="197"/>
      <c r="C29" s="197"/>
      <c r="D29" s="57"/>
      <c r="E29" s="197"/>
      <c r="F29" s="57"/>
      <c r="G29" s="57"/>
      <c r="H29" s="57"/>
      <c r="I29" s="57"/>
      <c r="J29" s="57"/>
      <c r="K29" s="57"/>
    </row>
    <row r="30" spans="1:11" ht="40.5" customHeight="1">
      <c r="A30" s="230" t="s">
        <v>457</v>
      </c>
      <c r="B30" s="197"/>
      <c r="C30" s="197"/>
      <c r="D30" s="57"/>
      <c r="E30" s="197"/>
      <c r="F30" s="57"/>
      <c r="G30" s="57"/>
      <c r="H30" s="57"/>
      <c r="I30" s="57"/>
      <c r="J30" s="57"/>
      <c r="K30" s="57"/>
    </row>
    <row r="31" spans="1:11" ht="12" customHeight="1">
      <c r="B31" s="197"/>
      <c r="C31" s="197"/>
      <c r="D31" s="57"/>
      <c r="E31" s="197"/>
      <c r="F31" s="57"/>
      <c r="G31" s="57"/>
      <c r="H31" s="57"/>
      <c r="I31" s="57"/>
      <c r="J31" s="57"/>
      <c r="K31" s="57"/>
    </row>
    <row r="32" spans="1:11" ht="12" customHeight="1">
      <c r="B32" s="197"/>
      <c r="C32" s="197"/>
      <c r="D32" s="57"/>
      <c r="E32" s="197"/>
      <c r="F32" s="57"/>
      <c r="G32" s="57"/>
      <c r="H32" s="57"/>
      <c r="I32" s="57"/>
      <c r="J32" s="57"/>
      <c r="K32" s="57"/>
    </row>
    <row r="33" spans="1:11" ht="12" customHeight="1">
      <c r="B33" s="197"/>
      <c r="C33" s="197"/>
      <c r="D33" s="57"/>
      <c r="E33" s="197"/>
      <c r="F33" s="57"/>
      <c r="G33" s="57"/>
      <c r="H33" s="57"/>
      <c r="I33" s="57"/>
      <c r="J33" s="57"/>
      <c r="K33" s="57"/>
    </row>
    <row r="34" spans="1:11" ht="12" customHeight="1">
      <c r="A34" s="197"/>
      <c r="B34" s="197"/>
      <c r="C34" s="197"/>
      <c r="D34" s="57"/>
      <c r="E34" s="197"/>
      <c r="F34" s="57"/>
      <c r="G34" s="57"/>
      <c r="H34" s="57"/>
      <c r="I34" s="57"/>
      <c r="J34" s="57"/>
      <c r="K34" s="57"/>
    </row>
    <row r="35" spans="1:11" ht="39.75" customHeight="1">
      <c r="A35" s="197"/>
      <c r="B35" s="197"/>
      <c r="C35" s="197"/>
      <c r="D35" s="57"/>
      <c r="E35" s="197"/>
      <c r="F35" s="57"/>
      <c r="G35" s="57"/>
      <c r="H35" s="57"/>
      <c r="I35" s="57"/>
      <c r="J35" s="57"/>
      <c r="K35" s="57"/>
    </row>
    <row r="37" spans="1:11" ht="15.75" customHeight="1">
      <c r="A37" s="230" t="s">
        <v>670</v>
      </c>
    </row>
    <row r="38" spans="1:11" ht="18.75" customHeight="1"/>
    <row r="39" spans="1:11">
      <c r="J39"/>
      <c r="K39"/>
    </row>
    <row r="40" spans="1:11">
      <c r="J40" t="s">
        <v>797</v>
      </c>
      <c r="K40" s="56">
        <v>96</v>
      </c>
    </row>
    <row r="41" spans="1:11">
      <c r="J41" t="s">
        <v>828</v>
      </c>
      <c r="K41" s="56">
        <v>219</v>
      </c>
    </row>
    <row r="42" spans="1:11">
      <c r="B42"/>
      <c r="C42" t="s">
        <v>156</v>
      </c>
      <c r="D42" t="s">
        <v>157</v>
      </c>
      <c r="E42" t="s">
        <v>47</v>
      </c>
      <c r="J42" t="s">
        <v>994</v>
      </c>
      <c r="K42" s="56">
        <v>7</v>
      </c>
    </row>
    <row r="43" spans="1:11">
      <c r="B43" s="56">
        <v>2019</v>
      </c>
      <c r="C43" s="56">
        <v>15</v>
      </c>
      <c r="D43" s="56">
        <v>12</v>
      </c>
      <c r="E43" s="56">
        <f>SUM(C43:D43)</f>
        <v>27</v>
      </c>
      <c r="F43" s="166">
        <f>C43/E43</f>
        <v>0.55555555555555558</v>
      </c>
      <c r="J43" t="s">
        <v>798</v>
      </c>
      <c r="K43" s="56">
        <v>355</v>
      </c>
    </row>
    <row r="44" spans="1:11">
      <c r="B44" s="56">
        <v>2020</v>
      </c>
      <c r="C44" s="56">
        <v>4</v>
      </c>
      <c r="D44" s="56">
        <v>9</v>
      </c>
      <c r="E44" s="56">
        <f>SUM(C44:D44)</f>
        <v>13</v>
      </c>
      <c r="F44" s="166">
        <f>C44/E44</f>
        <v>0.30769230769230771</v>
      </c>
      <c r="J44" t="s">
        <v>827</v>
      </c>
      <c r="K44" s="56">
        <v>133</v>
      </c>
    </row>
    <row r="45" spans="1:11">
      <c r="B45" s="56">
        <v>2021</v>
      </c>
      <c r="C45" s="56">
        <v>18</v>
      </c>
      <c r="D45" s="56">
        <v>6</v>
      </c>
      <c r="E45" s="56">
        <f>SUM(C45:D45)</f>
        <v>24</v>
      </c>
      <c r="F45" s="166">
        <f>C45/E45</f>
        <v>0.75</v>
      </c>
      <c r="J45" t="s">
        <v>993</v>
      </c>
      <c r="K45" s="56">
        <v>227</v>
      </c>
    </row>
    <row r="46" spans="1:11">
      <c r="B46" s="282"/>
      <c r="C46" s="166"/>
      <c r="D46" s="282"/>
      <c r="E46" s="282"/>
      <c r="J46"/>
    </row>
    <row r="54" spans="1:4">
      <c r="B54" s="56">
        <v>24</v>
      </c>
      <c r="C54" s="911">
        <f>B54/EffectifGlobal!F20</f>
        <v>1.4545454545454545E-2</v>
      </c>
    </row>
    <row r="57" spans="1:4">
      <c r="A57" s="282"/>
      <c r="B57" s="909">
        <f>13/18</f>
        <v>0.72222222222222221</v>
      </c>
    </row>
    <row r="61" spans="1:4">
      <c r="B61" s="162"/>
    </row>
    <row r="62" spans="1:4">
      <c r="C62" s="911"/>
      <c r="D62" s="475"/>
    </row>
    <row r="65" spans="1:16" ht="18.75">
      <c r="A65" s="230" t="s">
        <v>200</v>
      </c>
    </row>
    <row r="66" spans="1:16" ht="6" customHeight="1">
      <c r="A66" s="230"/>
    </row>
    <row r="67" spans="1:16" ht="14.25" customHeight="1">
      <c r="A67" s="778" t="s">
        <v>704</v>
      </c>
    </row>
    <row r="68" spans="1:16" ht="14.25" customHeight="1">
      <c r="A68" s="57"/>
    </row>
    <row r="69" spans="1:16" ht="14.25" customHeight="1">
      <c r="A69" s="57"/>
    </row>
    <row r="70" spans="1:16" ht="14.25" customHeight="1">
      <c r="A70" s="57"/>
    </row>
    <row r="71" spans="1:16" ht="14.25" customHeight="1">
      <c r="A71" s="57"/>
    </row>
    <row r="72" spans="1:16" ht="14.25" customHeight="1">
      <c r="A72" s="57"/>
    </row>
    <row r="73" spans="1:16" ht="103.15" customHeight="1">
      <c r="E73" s="1690"/>
      <c r="F73" s="1691"/>
      <c r="G73" s="1691"/>
      <c r="H73" s="1691"/>
      <c r="I73" s="1691"/>
      <c r="J73" s="1691"/>
      <c r="K73" s="1691"/>
      <c r="L73" s="1691"/>
      <c r="M73" s="1691"/>
      <c r="N73" s="1691"/>
      <c r="O73" s="1691"/>
      <c r="P73" s="1691"/>
    </row>
    <row r="74" spans="1:16" ht="45.75" customHeight="1"/>
    <row r="75" spans="1:16" ht="45.6" customHeight="1">
      <c r="E75" s="56" t="s">
        <v>682</v>
      </c>
    </row>
    <row r="76" spans="1:16" ht="12.6" customHeight="1">
      <c r="A76" s="201" t="s">
        <v>465</v>
      </c>
    </row>
    <row r="77" spans="1:16" ht="6.6" customHeight="1" thickBot="1"/>
    <row r="78" spans="1:16" ht="58.9" customHeight="1" thickBot="1">
      <c r="A78" s="1687" t="s">
        <v>438</v>
      </c>
      <c r="B78" s="1687"/>
      <c r="C78" s="1687"/>
      <c r="D78" s="1687"/>
      <c r="E78" s="1692" t="s">
        <v>1143</v>
      </c>
      <c r="F78" s="1693"/>
      <c r="G78" s="1693"/>
      <c r="H78" s="1693"/>
      <c r="I78" s="1693"/>
      <c r="J78" s="1693"/>
      <c r="K78" s="1693"/>
      <c r="L78" s="1693"/>
      <c r="M78" s="1693"/>
      <c r="N78" s="1693"/>
      <c r="O78" s="1693"/>
      <c r="P78" s="1693"/>
    </row>
    <row r="79" spans="1:16" ht="129" customHeight="1" thickBot="1">
      <c r="A79" s="1687" t="s">
        <v>439</v>
      </c>
      <c r="B79" s="1687"/>
      <c r="C79" s="1687"/>
      <c r="D79" s="1687"/>
      <c r="E79" s="1694" t="s">
        <v>988</v>
      </c>
      <c r="F79" s="1695"/>
      <c r="G79" s="1695"/>
      <c r="H79" s="1695"/>
      <c r="I79" s="1695"/>
      <c r="J79" s="1695"/>
      <c r="K79" s="1695"/>
      <c r="L79" s="1695"/>
      <c r="M79" s="1695"/>
      <c r="N79" s="1695"/>
      <c r="O79" s="1695"/>
      <c r="P79" s="1695"/>
    </row>
    <row r="80" spans="1:16" ht="30" customHeight="1" thickBot="1">
      <c r="A80" s="1687" t="s">
        <v>623</v>
      </c>
      <c r="B80" s="1687"/>
      <c r="C80" s="1687"/>
      <c r="D80" s="1687"/>
      <c r="E80" s="1688" t="s">
        <v>1099</v>
      </c>
      <c r="F80" s="1689"/>
      <c r="G80" s="1689"/>
      <c r="H80" s="1689"/>
      <c r="I80" s="1689"/>
      <c r="J80" s="1689"/>
      <c r="K80" s="1689"/>
      <c r="L80" s="1689"/>
      <c r="M80" s="1689"/>
      <c r="N80" s="1689"/>
      <c r="O80" s="1689"/>
      <c r="P80" s="1689"/>
    </row>
  </sheetData>
  <mergeCells count="13">
    <mergeCell ref="E5:H5"/>
    <mergeCell ref="E6:H6"/>
    <mergeCell ref="E7:H7"/>
    <mergeCell ref="C5:D5"/>
    <mergeCell ref="C6:D6"/>
    <mergeCell ref="C7:D7"/>
    <mergeCell ref="A80:D80"/>
    <mergeCell ref="E80:P80"/>
    <mergeCell ref="E73:P73"/>
    <mergeCell ref="A78:D78"/>
    <mergeCell ref="E78:P78"/>
    <mergeCell ref="A79:D79"/>
    <mergeCell ref="E79:P79"/>
  </mergeCells>
  <pageMargins left="0.11811023622047245" right="0.11811023622047245" top="0.35433070866141736" bottom="0.35433070866141736" header="0.31496062992125984" footer="0.31496062992125984"/>
  <pageSetup paperSize="9" scale="88" orientation="landscape" r:id="rId1"/>
  <rowBreaks count="1" manualBreakCount="1">
    <brk id="64" max="16"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pageSetUpPr fitToPage="1"/>
  </sheetPr>
  <dimension ref="A1:X61"/>
  <sheetViews>
    <sheetView showGridLines="0" topLeftCell="C1" zoomScaleNormal="100" zoomScaleSheetLayoutView="100" workbookViewId="0">
      <selection activeCell="P48" sqref="P48"/>
    </sheetView>
  </sheetViews>
  <sheetFormatPr baseColWidth="10" defaultRowHeight="10.5"/>
  <cols>
    <col min="1" max="1" width="3.5" customWidth="1"/>
    <col min="2" max="2" width="65.1640625" bestFit="1" customWidth="1"/>
    <col min="3" max="3" width="3.5" customWidth="1"/>
    <col min="4" max="7" width="6.6640625" customWidth="1"/>
    <col min="8" max="8" width="8.6640625" customWidth="1"/>
    <col min="9" max="9" width="6.1640625" customWidth="1"/>
    <col min="10" max="13" width="6.6640625" customWidth="1"/>
    <col min="14" max="14" width="8.6640625" customWidth="1"/>
    <col min="15" max="15" width="6.1640625" style="1161" customWidth="1"/>
    <col min="16" max="19" width="6.6640625" style="1161" customWidth="1"/>
    <col min="20" max="20" width="8.6640625" style="1161" customWidth="1"/>
  </cols>
  <sheetData>
    <row r="1" spans="1:24" ht="18.75">
      <c r="A1" s="230" t="s">
        <v>199</v>
      </c>
    </row>
    <row r="2" spans="1:24" ht="7.5" customHeight="1">
      <c r="A2" s="230"/>
    </row>
    <row r="3" spans="1:24" s="441" customFormat="1" ht="17.25" customHeight="1">
      <c r="C3" s="377"/>
      <c r="D3" s="1703" t="s">
        <v>878</v>
      </c>
      <c r="E3" s="1704"/>
      <c r="F3" s="1704"/>
      <c r="G3" s="1704"/>
      <c r="H3" s="1704"/>
      <c r="J3" s="1703" t="s">
        <v>879</v>
      </c>
      <c r="K3" s="1704"/>
      <c r="L3" s="1704"/>
      <c r="M3" s="1704"/>
      <c r="N3" s="1704"/>
      <c r="P3" s="1703" t="s">
        <v>998</v>
      </c>
      <c r="Q3" s="1704"/>
      <c r="R3" s="1704"/>
      <c r="S3" s="1704"/>
      <c r="T3" s="1704"/>
    </row>
    <row r="4" spans="1:24" s="441" customFormat="1" ht="5.25" customHeight="1" thickBot="1">
      <c r="C4" s="377"/>
      <c r="D4" s="377"/>
      <c r="E4" s="377"/>
      <c r="F4" s="377"/>
      <c r="G4" s="377"/>
      <c r="J4" s="377"/>
      <c r="K4" s="377"/>
      <c r="L4" s="377"/>
      <c r="M4" s="377"/>
      <c r="P4" s="377"/>
      <c r="Q4" s="377"/>
      <c r="R4" s="377"/>
      <c r="S4" s="377"/>
    </row>
    <row r="5" spans="1:24" s="441" customFormat="1" ht="16.5" customHeight="1" thickBot="1">
      <c r="C5" s="377"/>
      <c r="D5" s="1705" t="s">
        <v>123</v>
      </c>
      <c r="E5" s="1706"/>
      <c r="F5" s="1705" t="s">
        <v>312</v>
      </c>
      <c r="G5" s="1706"/>
      <c r="H5" s="1707" t="s">
        <v>47</v>
      </c>
      <c r="J5" s="1705" t="s">
        <v>123</v>
      </c>
      <c r="K5" s="1706"/>
      <c r="L5" s="1705" t="s">
        <v>312</v>
      </c>
      <c r="M5" s="1706"/>
      <c r="N5" s="1707" t="s">
        <v>47</v>
      </c>
      <c r="P5" s="1705" t="s">
        <v>123</v>
      </c>
      <c r="Q5" s="1706"/>
      <c r="R5" s="1705" t="s">
        <v>312</v>
      </c>
      <c r="S5" s="1706"/>
      <c r="T5" s="1707" t="s">
        <v>47</v>
      </c>
    </row>
    <row r="6" spans="1:24" s="441" customFormat="1" ht="16.5" customHeight="1" thickBot="1">
      <c r="B6" s="442"/>
      <c r="C6" s="377"/>
      <c r="D6" s="443" t="s">
        <v>87</v>
      </c>
      <c r="E6" s="444" t="s">
        <v>130</v>
      </c>
      <c r="F6" s="445" t="s">
        <v>87</v>
      </c>
      <c r="G6" s="444" t="s">
        <v>130</v>
      </c>
      <c r="H6" s="1708"/>
      <c r="J6" s="443" t="s">
        <v>87</v>
      </c>
      <c r="K6" s="444" t="s">
        <v>130</v>
      </c>
      <c r="L6" s="445" t="s">
        <v>87</v>
      </c>
      <c r="M6" s="444" t="s">
        <v>130</v>
      </c>
      <c r="N6" s="1708"/>
      <c r="P6" s="443" t="s">
        <v>87</v>
      </c>
      <c r="Q6" s="444" t="s">
        <v>130</v>
      </c>
      <c r="R6" s="445" t="s">
        <v>87</v>
      </c>
      <c r="S6" s="444" t="s">
        <v>130</v>
      </c>
      <c r="T6" s="1708"/>
      <c r="V6" s="1022">
        <f>P31+Q31</f>
        <v>22</v>
      </c>
      <c r="W6" s="913"/>
      <c r="X6" s="913"/>
    </row>
    <row r="7" spans="1:24" s="377" customFormat="1" ht="15.75" customHeight="1" thickBot="1">
      <c r="B7" s="446" t="s">
        <v>458</v>
      </c>
      <c r="D7" s="1207"/>
      <c r="E7" s="1208"/>
      <c r="F7" s="1210"/>
      <c r="G7" s="1211"/>
      <c r="H7" s="699"/>
      <c r="J7" s="697"/>
      <c r="K7" s="698">
        <v>1</v>
      </c>
      <c r="L7" s="697"/>
      <c r="M7" s="698">
        <v>39</v>
      </c>
      <c r="N7" s="699">
        <f t="shared" ref="N7:N8" si="0">SUM(J7:M7)</f>
        <v>40</v>
      </c>
      <c r="P7" s="1476"/>
      <c r="Q7" s="1477">
        <v>1</v>
      </c>
      <c r="R7" s="1476">
        <v>7</v>
      </c>
      <c r="S7" s="1477">
        <v>16</v>
      </c>
      <c r="T7" s="699">
        <f t="shared" ref="T7:T25" si="1">SUM(P7:S7)</f>
        <v>24</v>
      </c>
      <c r="V7" s="377">
        <f>T31</f>
        <v>177</v>
      </c>
      <c r="W7" s="914"/>
      <c r="X7" s="914"/>
    </row>
    <row r="8" spans="1:24" s="377" customFormat="1" ht="15.75" customHeight="1" thickBot="1">
      <c r="A8" s="428"/>
      <c r="B8" s="446" t="s">
        <v>316</v>
      </c>
      <c r="D8" s="1210"/>
      <c r="E8" s="1211"/>
      <c r="F8" s="1210"/>
      <c r="G8" s="1211"/>
      <c r="H8" s="699"/>
      <c r="J8" s="697">
        <v>7</v>
      </c>
      <c r="K8" s="698">
        <v>6</v>
      </c>
      <c r="L8" s="697">
        <v>16</v>
      </c>
      <c r="M8" s="698">
        <v>15</v>
      </c>
      <c r="N8" s="699">
        <f t="shared" si="0"/>
        <v>44</v>
      </c>
      <c r="P8" s="1476"/>
      <c r="Q8" s="1477">
        <v>5</v>
      </c>
      <c r="R8" s="1476">
        <v>26</v>
      </c>
      <c r="S8" s="1477">
        <v>18</v>
      </c>
      <c r="T8" s="699">
        <f t="shared" si="1"/>
        <v>49</v>
      </c>
      <c r="V8" s="1023">
        <f>V6/V7</f>
        <v>0.12429378531073447</v>
      </c>
      <c r="W8" s="915">
        <f>T31</f>
        <v>177</v>
      </c>
      <c r="X8" s="914"/>
    </row>
    <row r="9" spans="1:24" s="377" customFormat="1" ht="15.75" customHeight="1" thickBot="1">
      <c r="B9" s="446" t="s">
        <v>461</v>
      </c>
      <c r="D9" s="1207"/>
      <c r="E9" s="1208"/>
      <c r="F9" s="1207"/>
      <c r="G9" s="1208"/>
      <c r="H9" s="699"/>
      <c r="J9" s="697"/>
      <c r="K9" s="698"/>
      <c r="L9" s="697"/>
      <c r="M9" s="698"/>
      <c r="N9" s="699"/>
      <c r="P9" s="1476"/>
      <c r="Q9" s="1477"/>
      <c r="R9" s="1476"/>
      <c r="S9" s="1477"/>
      <c r="T9" s="699"/>
      <c r="W9" s="915">
        <f>P31+Q31</f>
        <v>22</v>
      </c>
      <c r="X9" s="914"/>
    </row>
    <row r="10" spans="1:24" s="377" customFormat="1" ht="15.75" customHeight="1" thickBot="1">
      <c r="B10" s="859" t="s">
        <v>609</v>
      </c>
      <c r="D10" s="1207"/>
      <c r="E10" s="1208"/>
      <c r="F10" s="1207"/>
      <c r="G10" s="1208"/>
      <c r="H10" s="699"/>
      <c r="J10" s="697"/>
      <c r="K10" s="698"/>
      <c r="L10" s="697">
        <v>3</v>
      </c>
      <c r="M10" s="698">
        <v>2</v>
      </c>
      <c r="N10" s="699">
        <f t="shared" ref="N10:N12" si="2">SUM(J10:M10)</f>
        <v>5</v>
      </c>
      <c r="P10" s="1476"/>
      <c r="Q10" s="1477"/>
      <c r="R10" s="1476"/>
      <c r="S10" s="1477"/>
      <c r="T10" s="699"/>
      <c r="W10" s="916">
        <f>W9/W8</f>
        <v>0.12429378531073447</v>
      </c>
      <c r="X10" s="914"/>
    </row>
    <row r="11" spans="1:24" s="377" customFormat="1" ht="15.75" customHeight="1" thickBot="1">
      <c r="B11" s="446" t="s">
        <v>196</v>
      </c>
      <c r="D11" s="1207"/>
      <c r="E11" s="1208"/>
      <c r="F11" s="1207"/>
      <c r="G11" s="1208"/>
      <c r="H11" s="699"/>
      <c r="J11" s="697"/>
      <c r="K11" s="698"/>
      <c r="L11" s="697">
        <v>5</v>
      </c>
      <c r="M11" s="698">
        <v>3</v>
      </c>
      <c r="N11" s="699">
        <f t="shared" si="2"/>
        <v>8</v>
      </c>
      <c r="P11" s="1476"/>
      <c r="Q11" s="1477">
        <v>2</v>
      </c>
      <c r="R11" s="1476">
        <v>23</v>
      </c>
      <c r="S11" s="1477">
        <v>11</v>
      </c>
      <c r="T11" s="699">
        <f t="shared" si="1"/>
        <v>36</v>
      </c>
      <c r="W11" s="914"/>
      <c r="X11" s="914"/>
    </row>
    <row r="12" spans="1:24" s="377" customFormat="1" ht="15.75" customHeight="1" thickBot="1">
      <c r="B12" s="446" t="s">
        <v>462</v>
      </c>
      <c r="D12" s="1207"/>
      <c r="E12" s="1208"/>
      <c r="F12" s="1207"/>
      <c r="G12" s="1208"/>
      <c r="H12" s="699"/>
      <c r="J12" s="697"/>
      <c r="K12" s="698"/>
      <c r="L12" s="697">
        <v>5</v>
      </c>
      <c r="M12" s="698">
        <v>8</v>
      </c>
      <c r="N12" s="699">
        <f t="shared" si="2"/>
        <v>13</v>
      </c>
      <c r="P12" s="1478">
        <v>2</v>
      </c>
      <c r="Q12" s="1479">
        <v>2</v>
      </c>
      <c r="R12" s="1478">
        <v>2</v>
      </c>
      <c r="S12" s="1480">
        <v>4</v>
      </c>
      <c r="T12" s="699">
        <f t="shared" si="1"/>
        <v>10</v>
      </c>
    </row>
    <row r="13" spans="1:24" s="377" customFormat="1" ht="15.75" customHeight="1" thickBot="1">
      <c r="B13" s="859" t="s">
        <v>610</v>
      </c>
      <c r="D13" s="1207"/>
      <c r="E13" s="1208"/>
      <c r="F13" s="1207"/>
      <c r="G13" s="1208"/>
      <c r="H13" s="699"/>
      <c r="J13" s="697"/>
      <c r="K13" s="698"/>
      <c r="L13" s="697"/>
      <c r="M13" s="698"/>
      <c r="N13" s="699"/>
      <c r="P13" s="1478"/>
      <c r="Q13" s="1480"/>
      <c r="R13" s="1478"/>
      <c r="S13" s="1480"/>
      <c r="T13" s="699"/>
    </row>
    <row r="14" spans="1:24" s="377" customFormat="1" ht="15.75" customHeight="1" thickBot="1">
      <c r="B14" s="446" t="s">
        <v>197</v>
      </c>
      <c r="D14" s="1207"/>
      <c r="E14" s="1208"/>
      <c r="F14" s="1207"/>
      <c r="G14" s="1208"/>
      <c r="H14" s="699"/>
      <c r="J14" s="697"/>
      <c r="K14" s="698"/>
      <c r="L14" s="697"/>
      <c r="M14" s="698"/>
      <c r="N14" s="699"/>
      <c r="P14" s="1481">
        <v>5</v>
      </c>
      <c r="Q14" s="1479">
        <v>1</v>
      </c>
      <c r="R14" s="1481">
        <v>14</v>
      </c>
      <c r="S14" s="1479">
        <v>4</v>
      </c>
      <c r="T14" s="699">
        <v>13</v>
      </c>
    </row>
    <row r="15" spans="1:24" s="377" customFormat="1" ht="15.75" customHeight="1" thickBot="1">
      <c r="B15" s="446" t="s">
        <v>492</v>
      </c>
      <c r="D15" s="1207"/>
      <c r="E15" s="1208"/>
      <c r="F15" s="1207"/>
      <c r="G15" s="1208"/>
      <c r="H15" s="699"/>
      <c r="J15" s="697"/>
      <c r="K15" s="698"/>
      <c r="L15" s="697"/>
      <c r="M15" s="698"/>
      <c r="N15" s="699"/>
      <c r="P15" s="1478"/>
      <c r="Q15" s="1480"/>
      <c r="R15" s="1478"/>
      <c r="S15" s="1480"/>
      <c r="T15" s="699"/>
    </row>
    <row r="16" spans="1:24" s="377" customFormat="1" ht="15.75" customHeight="1" thickBot="1">
      <c r="B16" s="446" t="s">
        <v>317</v>
      </c>
      <c r="D16" s="1207"/>
      <c r="E16" s="1208"/>
      <c r="F16" s="1207"/>
      <c r="G16" s="1208"/>
      <c r="H16" s="699"/>
      <c r="J16" s="697"/>
      <c r="K16" s="698"/>
      <c r="L16" s="697"/>
      <c r="M16" s="698">
        <v>2</v>
      </c>
      <c r="N16" s="699">
        <f t="shared" ref="N16" si="3">SUM(J16:M16)</f>
        <v>2</v>
      </c>
      <c r="P16" s="1478"/>
      <c r="Q16" s="1480"/>
      <c r="R16" s="1478"/>
      <c r="S16" s="1480"/>
      <c r="T16" s="699"/>
    </row>
    <row r="17" spans="2:23" s="377" customFormat="1" ht="15.75" customHeight="1" thickBot="1">
      <c r="B17" s="446" t="s">
        <v>691</v>
      </c>
      <c r="D17" s="1207"/>
      <c r="E17" s="1208"/>
      <c r="F17" s="1207"/>
      <c r="G17" s="1208"/>
      <c r="H17" s="699"/>
      <c r="J17" s="697"/>
      <c r="K17" s="698"/>
      <c r="L17" s="697"/>
      <c r="M17" s="698"/>
      <c r="N17" s="699"/>
      <c r="P17" s="1478"/>
      <c r="Q17" s="1480"/>
      <c r="R17" s="1478"/>
      <c r="S17" s="1480"/>
      <c r="T17" s="699"/>
    </row>
    <row r="18" spans="2:23" s="377" customFormat="1" ht="15.75" customHeight="1" thickBot="1">
      <c r="B18" s="859" t="s">
        <v>611</v>
      </c>
      <c r="D18" s="1207"/>
      <c r="E18" s="1208"/>
      <c r="F18" s="1207"/>
      <c r="G18" s="1208"/>
      <c r="H18" s="699"/>
      <c r="J18" s="697"/>
      <c r="K18" s="698"/>
      <c r="L18" s="697"/>
      <c r="M18" s="698"/>
      <c r="N18" s="699"/>
      <c r="P18" s="1478"/>
      <c r="Q18" s="1480"/>
      <c r="R18" s="1478"/>
      <c r="S18" s="1480"/>
      <c r="T18" s="699"/>
    </row>
    <row r="19" spans="2:23" s="377" customFormat="1" ht="15.75" customHeight="1" thickBot="1">
      <c r="B19" s="446" t="s">
        <v>459</v>
      </c>
      <c r="D19" s="1207"/>
      <c r="E19" s="1208"/>
      <c r="F19" s="1207"/>
      <c r="G19" s="1208"/>
      <c r="H19" s="699"/>
      <c r="J19" s="697"/>
      <c r="K19" s="698"/>
      <c r="L19" s="697"/>
      <c r="M19" s="698"/>
      <c r="N19" s="699"/>
      <c r="P19" s="1478"/>
      <c r="Q19" s="1480"/>
      <c r="R19" s="1478"/>
      <c r="S19" s="1480"/>
      <c r="T19" s="699"/>
    </row>
    <row r="20" spans="2:23" s="377" customFormat="1" ht="15.75" customHeight="1" thickBot="1">
      <c r="B20" s="446" t="s">
        <v>460</v>
      </c>
      <c r="D20" s="1207"/>
      <c r="E20" s="1208"/>
      <c r="F20" s="1207"/>
      <c r="G20" s="1208"/>
      <c r="H20" s="699"/>
      <c r="J20" s="697"/>
      <c r="K20" s="698"/>
      <c r="L20" s="697"/>
      <c r="M20" s="698"/>
      <c r="N20" s="699"/>
      <c r="P20" s="1478"/>
      <c r="Q20" s="1480"/>
      <c r="R20" s="1478"/>
      <c r="S20" s="1480"/>
      <c r="T20" s="699"/>
      <c r="U20" s="448"/>
      <c r="V20" s="449"/>
      <c r="W20" s="701">
        <v>17793</v>
      </c>
    </row>
    <row r="21" spans="2:23" s="377" customFormat="1" ht="15.75" customHeight="1" thickBot="1">
      <c r="B21" s="446" t="s">
        <v>493</v>
      </c>
      <c r="D21" s="1207"/>
      <c r="E21" s="1208"/>
      <c r="F21" s="1207"/>
      <c r="G21" s="1208"/>
      <c r="H21" s="699"/>
      <c r="J21" s="697"/>
      <c r="K21" s="698"/>
      <c r="L21" s="697"/>
      <c r="M21" s="698"/>
      <c r="N21" s="699"/>
      <c r="P21" s="1478"/>
      <c r="Q21" s="1480"/>
      <c r="R21" s="1478"/>
      <c r="S21" s="1479">
        <v>1</v>
      </c>
      <c r="T21" s="699">
        <f t="shared" si="1"/>
        <v>1</v>
      </c>
      <c r="U21" s="449"/>
      <c r="V21" s="449"/>
      <c r="W21" s="154">
        <f>Formation3!G23</f>
        <v>163300</v>
      </c>
    </row>
    <row r="22" spans="2:23" s="377" customFormat="1" ht="15.75" customHeight="1" thickBot="1">
      <c r="B22" s="446" t="s">
        <v>198</v>
      </c>
      <c r="D22" s="1207"/>
      <c r="E22" s="1208"/>
      <c r="F22" s="1207"/>
      <c r="G22" s="1208"/>
      <c r="H22" s="699"/>
      <c r="J22" s="697"/>
      <c r="K22" s="698"/>
      <c r="L22" s="697"/>
      <c r="M22" s="698"/>
      <c r="N22" s="699"/>
      <c r="P22" s="1478"/>
      <c r="Q22" s="1480"/>
      <c r="R22" s="1478"/>
      <c r="S22" s="1480"/>
      <c r="T22" s="699"/>
      <c r="W22" s="702">
        <f>W20/W21</f>
        <v>0.10895897121861604</v>
      </c>
    </row>
    <row r="23" spans="2:23" s="377" customFormat="1" ht="30" customHeight="1" thickBot="1">
      <c r="B23" s="446" t="s">
        <v>612</v>
      </c>
      <c r="D23" s="1207"/>
      <c r="E23" s="1208"/>
      <c r="F23" s="1209"/>
      <c r="G23" s="1208"/>
      <c r="H23" s="699"/>
      <c r="J23" s="697"/>
      <c r="K23" s="698"/>
      <c r="L23" s="700"/>
      <c r="M23" s="698"/>
      <c r="N23" s="699"/>
      <c r="P23" s="1478"/>
      <c r="Q23" s="1480"/>
      <c r="R23" s="1482"/>
      <c r="S23" s="1480"/>
      <c r="T23" s="699"/>
    </row>
    <row r="24" spans="2:23" s="377" customFormat="1" ht="23.25" customHeight="1" thickBot="1">
      <c r="B24" s="446" t="s">
        <v>613</v>
      </c>
      <c r="D24" s="1207"/>
      <c r="E24" s="1208"/>
      <c r="F24" s="1209"/>
      <c r="G24" s="1208"/>
      <c r="H24" s="699"/>
      <c r="J24" s="697"/>
      <c r="K24" s="698"/>
      <c r="L24" s="700"/>
      <c r="M24" s="698"/>
      <c r="N24" s="699"/>
      <c r="P24" s="1478"/>
      <c r="Q24" s="1480"/>
      <c r="R24" s="1483">
        <v>5</v>
      </c>
      <c r="S24" s="1479">
        <v>8</v>
      </c>
      <c r="T24" s="699">
        <f t="shared" si="1"/>
        <v>13</v>
      </c>
    </row>
    <row r="25" spans="2:23" s="377" customFormat="1" ht="23.25" customHeight="1" thickBot="1">
      <c r="B25" s="446" t="s">
        <v>1000</v>
      </c>
      <c r="D25" s="1207"/>
      <c r="E25" s="1208"/>
      <c r="F25" s="1209"/>
      <c r="G25" s="1208"/>
      <c r="H25" s="699"/>
      <c r="J25" s="697"/>
      <c r="K25" s="698"/>
      <c r="L25" s="700">
        <v>12</v>
      </c>
      <c r="M25" s="698">
        <v>1</v>
      </c>
      <c r="N25" s="699">
        <f t="shared" ref="N25" si="4">SUM(J25:M25)</f>
        <v>13</v>
      </c>
      <c r="P25" s="1481">
        <v>2</v>
      </c>
      <c r="Q25" s="1479">
        <v>2</v>
      </c>
      <c r="R25" s="1482">
        <v>23</v>
      </c>
      <c r="S25" s="1480">
        <v>4</v>
      </c>
      <c r="T25" s="699">
        <f t="shared" si="1"/>
        <v>31</v>
      </c>
    </row>
    <row r="26" spans="2:23" s="377" customFormat="1" ht="15.75" customHeight="1" thickBot="1">
      <c r="B26" s="446" t="s">
        <v>736</v>
      </c>
      <c r="D26" s="1207"/>
      <c r="E26" s="1208"/>
      <c r="F26" s="1209"/>
      <c r="G26" s="1208"/>
      <c r="H26" s="699"/>
      <c r="J26" s="697"/>
      <c r="K26" s="698"/>
      <c r="L26" s="700"/>
      <c r="M26" s="698"/>
      <c r="N26" s="699"/>
      <c r="P26" s="1478"/>
      <c r="Q26" s="1480"/>
      <c r="R26" s="1482"/>
      <c r="S26" s="1480"/>
      <c r="T26" s="699"/>
    </row>
    <row r="27" spans="2:23" s="377" customFormat="1" ht="15.75" customHeight="1" thickBot="1">
      <c r="B27" s="446" t="s">
        <v>737</v>
      </c>
      <c r="D27" s="1207"/>
      <c r="E27" s="1208"/>
      <c r="F27" s="1209"/>
      <c r="G27" s="1208"/>
      <c r="H27" s="699"/>
      <c r="J27" s="697"/>
      <c r="K27" s="698"/>
      <c r="L27" s="700"/>
      <c r="M27" s="698"/>
      <c r="N27" s="699"/>
      <c r="P27" s="1478"/>
      <c r="Q27" s="1480"/>
      <c r="R27" s="1482"/>
      <c r="S27" s="1480"/>
      <c r="T27" s="699"/>
    </row>
    <row r="28" spans="2:23" s="377" customFormat="1" ht="15.75" customHeight="1" thickBot="1">
      <c r="B28" s="446" t="s">
        <v>738</v>
      </c>
      <c r="D28" s="1207"/>
      <c r="E28" s="1208"/>
      <c r="F28" s="1209"/>
      <c r="G28" s="1208"/>
      <c r="H28" s="699"/>
      <c r="J28" s="697"/>
      <c r="K28" s="698"/>
      <c r="L28" s="700"/>
      <c r="M28" s="698"/>
      <c r="N28" s="699"/>
      <c r="P28" s="1478"/>
      <c r="Q28" s="1480"/>
      <c r="R28" s="1482"/>
      <c r="S28" s="1480"/>
      <c r="T28" s="699"/>
    </row>
    <row r="29" spans="2:23" s="377" customFormat="1" ht="15.75" customHeight="1" thickBot="1">
      <c r="B29" s="446" t="s">
        <v>999</v>
      </c>
      <c r="D29" s="1207"/>
      <c r="E29" s="1208"/>
      <c r="F29" s="1209"/>
      <c r="G29" s="1208"/>
      <c r="H29" s="699"/>
      <c r="J29" s="697"/>
      <c r="K29" s="698"/>
      <c r="L29" s="700"/>
      <c r="M29" s="698">
        <v>2</v>
      </c>
      <c r="N29" s="699">
        <f t="shared" ref="N29:N30" si="5">SUM(J29:M29)</f>
        <v>2</v>
      </c>
      <c r="P29" s="1478"/>
      <c r="Q29" s="1480"/>
      <c r="R29" s="1482"/>
      <c r="S29" s="1480"/>
      <c r="T29" s="699"/>
    </row>
    <row r="30" spans="2:23" s="377" customFormat="1" ht="15.75" customHeight="1" thickBot="1">
      <c r="B30" s="446" t="s">
        <v>739</v>
      </c>
      <c r="D30" s="1207"/>
      <c r="E30" s="1208"/>
      <c r="F30" s="1209"/>
      <c r="G30" s="1208"/>
      <c r="H30" s="699"/>
      <c r="J30" s="697"/>
      <c r="K30" s="698"/>
      <c r="L30" s="700">
        <v>1</v>
      </c>
      <c r="M30" s="698"/>
      <c r="N30" s="699">
        <f t="shared" si="5"/>
        <v>1</v>
      </c>
      <c r="P30" s="1478"/>
      <c r="Q30" s="1480"/>
      <c r="R30" s="1482"/>
      <c r="S30" s="1480"/>
      <c r="T30" s="699"/>
    </row>
    <row r="31" spans="2:23" ht="12.75" thickBot="1">
      <c r="B31" s="447" t="s">
        <v>47</v>
      </c>
      <c r="D31" s="900">
        <f>SUM(D7:D30)</f>
        <v>0</v>
      </c>
      <c r="E31" s="695">
        <f t="shared" ref="E31:G31" si="6">SUM(E7:E30)</f>
        <v>0</v>
      </c>
      <c r="F31" s="694">
        <f t="shared" si="6"/>
        <v>0</v>
      </c>
      <c r="G31" s="695">
        <f t="shared" si="6"/>
        <v>0</v>
      </c>
      <c r="H31" s="696">
        <f>SUM(D31:G31)</f>
        <v>0</v>
      </c>
      <c r="I31" s="1161"/>
      <c r="J31" s="900">
        <f>SUM(J7:J30)</f>
        <v>7</v>
      </c>
      <c r="K31" s="695">
        <f t="shared" ref="K31:M31" si="7">SUM(K7:K30)</f>
        <v>7</v>
      </c>
      <c r="L31" s="694">
        <f t="shared" si="7"/>
        <v>42</v>
      </c>
      <c r="M31" s="695">
        <f t="shared" si="7"/>
        <v>72</v>
      </c>
      <c r="N31" s="696">
        <f>SUM(J31:M31)</f>
        <v>128</v>
      </c>
      <c r="P31" s="900">
        <f>SUM(P7:P30)</f>
        <v>9</v>
      </c>
      <c r="Q31" s="695">
        <f>SUM(Q7:Q30)</f>
        <v>13</v>
      </c>
      <c r="R31" s="694">
        <f>SUM(R7:R30)</f>
        <v>100</v>
      </c>
      <c r="S31" s="695">
        <f>SUM(S7:S30)</f>
        <v>66</v>
      </c>
      <c r="T31" s="696">
        <f>SUM(T7:T30)</f>
        <v>177</v>
      </c>
    </row>
    <row r="32" spans="2:23">
      <c r="J32" s="10"/>
      <c r="P32" s="10"/>
    </row>
    <row r="33" spans="3:18">
      <c r="C33" s="185"/>
      <c r="D33" s="185"/>
      <c r="E33" s="185"/>
      <c r="J33" s="185"/>
      <c r="K33" s="185"/>
      <c r="P33" s="1164"/>
      <c r="Q33" s="1164"/>
    </row>
    <row r="35" spans="3:18">
      <c r="D35" s="242"/>
      <c r="J35" s="242"/>
      <c r="P35" s="242"/>
    </row>
    <row r="40" spans="3:18">
      <c r="F40" s="145"/>
      <c r="L40" s="145"/>
      <c r="R40" s="1163"/>
    </row>
    <row r="41" spans="3:18">
      <c r="F41" s="7"/>
      <c r="L41" s="7"/>
      <c r="R41" s="7"/>
    </row>
    <row r="42" spans="3:18">
      <c r="F42" s="1"/>
      <c r="L42" s="1"/>
      <c r="R42" s="1"/>
    </row>
    <row r="43" spans="3:18">
      <c r="F43" s="7"/>
      <c r="L43" s="7"/>
      <c r="R43" s="7"/>
    </row>
    <row r="53" spans="1:1" ht="12.75">
      <c r="A53" s="374"/>
    </row>
    <row r="55" spans="1:1" ht="12.75">
      <c r="A55" s="374"/>
    </row>
    <row r="56" spans="1:1" ht="12.75">
      <c r="A56" s="374"/>
    </row>
    <row r="57" spans="1:1" ht="12.75">
      <c r="A57" s="374"/>
    </row>
    <row r="58" spans="1:1" ht="12.75">
      <c r="A58" s="374"/>
    </row>
    <row r="59" spans="1:1" ht="12.75">
      <c r="A59" s="374"/>
    </row>
    <row r="60" spans="1:1" ht="12.75">
      <c r="A60" s="374"/>
    </row>
    <row r="61" spans="1:1" ht="12.75">
      <c r="A61" s="374"/>
    </row>
  </sheetData>
  <mergeCells count="12">
    <mergeCell ref="P3:T3"/>
    <mergeCell ref="P5:Q5"/>
    <mergeCell ref="R5:S5"/>
    <mergeCell ref="T5:T6"/>
    <mergeCell ref="D3:H3"/>
    <mergeCell ref="D5:E5"/>
    <mergeCell ref="F5:G5"/>
    <mergeCell ref="H5:H6"/>
    <mergeCell ref="J3:N3"/>
    <mergeCell ref="J5:K5"/>
    <mergeCell ref="L5:M5"/>
    <mergeCell ref="N5:N6"/>
  </mergeCells>
  <pageMargins left="0.11811023622047245" right="0.11811023622047245" top="0.35433070866141736" bottom="0.35433070866141736" header="0.31496062992125984" footer="0.31496062992125984"/>
  <pageSetup paperSize="9" scale="83"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92D050"/>
  </sheetPr>
  <dimension ref="A1:T48"/>
  <sheetViews>
    <sheetView showGridLines="0" topLeftCell="A4" zoomScaleNormal="100" zoomScaleSheetLayoutView="80" workbookViewId="0">
      <selection activeCell="L36" sqref="L36:Q37"/>
    </sheetView>
  </sheetViews>
  <sheetFormatPr baseColWidth="10" defaultRowHeight="10.5"/>
  <cols>
    <col min="1" max="1" width="12" customWidth="1"/>
    <col min="2" max="2" width="16.6640625" customWidth="1"/>
    <col min="3" max="4" width="8.6640625" customWidth="1"/>
    <col min="5" max="5" width="10" bestFit="1" customWidth="1"/>
    <col min="6" max="6" width="8.6640625" customWidth="1"/>
    <col min="7" max="7" width="11.5" customWidth="1"/>
    <col min="8" max="8" width="14.6640625" customWidth="1"/>
    <col min="9" max="9" width="10.33203125" bestFit="1" customWidth="1"/>
    <col min="10" max="10" width="8.6640625" customWidth="1"/>
    <col min="11" max="11" width="11.5" customWidth="1"/>
    <col min="12" max="12" width="9.33203125" customWidth="1"/>
    <col min="13" max="13" width="15" customWidth="1"/>
    <col min="14" max="16" width="8.6640625" customWidth="1"/>
    <col min="18" max="18" width="7.5" customWidth="1"/>
    <col min="19" max="19" width="12" hidden="1" customWidth="1"/>
  </cols>
  <sheetData>
    <row r="1" spans="1:20" ht="28.5">
      <c r="A1" s="1713" t="s">
        <v>514</v>
      </c>
      <c r="B1" s="1713"/>
      <c r="C1" s="1713"/>
      <c r="D1" s="1713"/>
      <c r="E1" s="1713"/>
      <c r="F1" s="1713"/>
      <c r="G1" s="1713"/>
      <c r="H1" s="1713"/>
      <c r="I1" s="1713"/>
      <c r="J1" s="1713"/>
      <c r="K1" s="1713"/>
      <c r="L1" s="1713"/>
      <c r="M1" s="1713"/>
      <c r="N1" s="1713"/>
      <c r="O1" s="1713"/>
      <c r="P1" s="1713"/>
      <c r="Q1" s="1713"/>
    </row>
    <row r="2" spans="1:20" ht="21">
      <c r="A2" s="174" t="s">
        <v>515</v>
      </c>
    </row>
    <row r="3" spans="1:20" ht="7.15" customHeight="1">
      <c r="I3" s="492"/>
    </row>
    <row r="4" spans="1:20" ht="18.75">
      <c r="A4" s="230" t="s">
        <v>466</v>
      </c>
    </row>
    <row r="5" spans="1:20" s="231" customFormat="1" ht="24" customHeight="1">
      <c r="B5" s="1712" t="s">
        <v>370</v>
      </c>
      <c r="C5" s="1712"/>
      <c r="D5" s="1712"/>
      <c r="E5" s="1712"/>
      <c r="F5" s="245"/>
      <c r="H5" s="1638" t="s">
        <v>470</v>
      </c>
      <c r="I5" s="1638"/>
      <c r="J5" s="1638"/>
      <c r="K5" s="1638"/>
      <c r="L5" s="245"/>
      <c r="M5" s="1712" t="s">
        <v>487</v>
      </c>
      <c r="N5" s="1712"/>
      <c r="O5" s="1712"/>
      <c r="P5" s="1712"/>
    </row>
    <row r="6" spans="1:20" ht="6" customHeight="1">
      <c r="N6" s="851"/>
    </row>
    <row r="7" spans="1:20" ht="16.5" customHeight="1">
      <c r="B7" s="461"/>
      <c r="C7" s="458" t="s">
        <v>87</v>
      </c>
      <c r="D7" s="458" t="s">
        <v>469</v>
      </c>
      <c r="E7" s="458" t="s">
        <v>47</v>
      </c>
      <c r="F7" s="185"/>
      <c r="G7" s="461"/>
      <c r="H7" s="461"/>
      <c r="I7" s="458" t="s">
        <v>87</v>
      </c>
      <c r="J7" s="458" t="s">
        <v>130</v>
      </c>
      <c r="K7" s="458" t="s">
        <v>47</v>
      </c>
      <c r="L7" s="5"/>
      <c r="M7" s="461"/>
      <c r="N7" s="458" t="s">
        <v>87</v>
      </c>
      <c r="O7" s="458" t="s">
        <v>469</v>
      </c>
      <c r="P7" s="458" t="s">
        <v>47</v>
      </c>
      <c r="Q7" s="185"/>
    </row>
    <row r="8" spans="1:20" ht="16.5" customHeight="1">
      <c r="B8" s="459" t="s">
        <v>267</v>
      </c>
      <c r="C8" s="864">
        <v>6</v>
      </c>
      <c r="D8" s="864">
        <v>4</v>
      </c>
      <c r="E8" s="864">
        <v>10</v>
      </c>
      <c r="F8" s="185"/>
      <c r="H8" s="459" t="s">
        <v>267</v>
      </c>
      <c r="I8" s="864">
        <v>5</v>
      </c>
      <c r="J8" s="864">
        <v>4</v>
      </c>
      <c r="K8" s="864">
        <f>SUM(I8:J8)</f>
        <v>9</v>
      </c>
      <c r="L8" s="5"/>
      <c r="M8" s="459" t="s">
        <v>267</v>
      </c>
      <c r="N8" s="864">
        <v>8</v>
      </c>
      <c r="O8" s="864">
        <v>6</v>
      </c>
      <c r="P8" s="864">
        <f>SUM(N8:O8)</f>
        <v>14</v>
      </c>
      <c r="Q8" s="185"/>
    </row>
    <row r="9" spans="1:20" ht="16.5" customHeight="1">
      <c r="B9" s="459" t="s">
        <v>471</v>
      </c>
      <c r="C9" s="864">
        <v>5</v>
      </c>
      <c r="D9" s="864">
        <v>5</v>
      </c>
      <c r="E9" s="864">
        <v>10</v>
      </c>
      <c r="F9" s="851"/>
      <c r="H9" s="459" t="s">
        <v>471</v>
      </c>
      <c r="I9" s="864">
        <v>6</v>
      </c>
      <c r="J9" s="864">
        <v>3</v>
      </c>
      <c r="K9" s="864">
        <f>SUM(I9:J9)</f>
        <v>9</v>
      </c>
      <c r="L9" s="5"/>
      <c r="M9" s="459" t="s">
        <v>471</v>
      </c>
      <c r="N9" s="864">
        <v>12</v>
      </c>
      <c r="O9" s="864">
        <v>2</v>
      </c>
      <c r="P9" s="864">
        <f>SUM(N9:O9)</f>
        <v>14</v>
      </c>
      <c r="Q9" s="185"/>
    </row>
    <row r="10" spans="1:20" ht="16.5" customHeight="1">
      <c r="B10" s="459" t="s">
        <v>47</v>
      </c>
      <c r="C10" s="864">
        <v>11</v>
      </c>
      <c r="D10" s="864">
        <v>9</v>
      </c>
      <c r="E10" s="864">
        <v>20</v>
      </c>
      <c r="F10" s="185"/>
      <c r="H10" s="459" t="s">
        <v>47</v>
      </c>
      <c r="I10" s="864">
        <f>SUM(I8:I9)</f>
        <v>11</v>
      </c>
      <c r="J10" s="864">
        <f>SUM(J8:J9)</f>
        <v>7</v>
      </c>
      <c r="K10" s="864">
        <f>SUM(K8:K9)</f>
        <v>18</v>
      </c>
      <c r="L10" s="5"/>
      <c r="M10" s="459" t="s">
        <v>47</v>
      </c>
      <c r="N10" s="864">
        <f>SUM(N8:N9)</f>
        <v>20</v>
      </c>
      <c r="O10" s="864">
        <f>SUM(O8:O9)</f>
        <v>8</v>
      </c>
      <c r="P10" s="864">
        <f>SUM(P8:P9)</f>
        <v>28</v>
      </c>
      <c r="Q10" s="185"/>
    </row>
    <row r="11" spans="1:20" ht="8.25" customHeight="1">
      <c r="B11" s="185"/>
      <c r="C11" s="185"/>
      <c r="D11" s="185"/>
      <c r="E11" s="185"/>
      <c r="F11" s="185"/>
      <c r="G11" s="185"/>
      <c r="H11" s="185"/>
      <c r="I11" s="851"/>
      <c r="J11" s="185"/>
      <c r="K11" s="185"/>
      <c r="L11" s="185"/>
      <c r="M11" s="185"/>
      <c r="N11" s="185"/>
      <c r="O11" s="185"/>
      <c r="P11" s="185"/>
      <c r="Q11" s="185"/>
    </row>
    <row r="12" spans="1:20" ht="18.75">
      <c r="A12" s="230" t="s">
        <v>467</v>
      </c>
      <c r="T12" s="764"/>
    </row>
    <row r="13" spans="1:20" ht="5.65" customHeight="1">
      <c r="T13" s="764"/>
    </row>
    <row r="14" spans="1:20" s="139" customFormat="1" ht="22.9" customHeight="1">
      <c r="C14" s="1714">
        <v>2020</v>
      </c>
      <c r="D14" s="1715"/>
      <c r="E14" s="1714">
        <v>2021</v>
      </c>
      <c r="F14" s="1715"/>
      <c r="G14" s="1205">
        <v>2022</v>
      </c>
      <c r="H14"/>
      <c r="T14" s="764"/>
    </row>
    <row r="15" spans="1:20" s="139" customFormat="1" ht="16.5" customHeight="1">
      <c r="B15" s="459" t="s">
        <v>336</v>
      </c>
      <c r="C15" s="1709">
        <v>10</v>
      </c>
      <c r="D15" s="1710"/>
      <c r="E15" s="1709">
        <v>9</v>
      </c>
      <c r="F15" s="1710"/>
      <c r="G15" s="1320">
        <v>9</v>
      </c>
      <c r="H15"/>
      <c r="T15" s="764"/>
    </row>
    <row r="16" spans="1:20" s="139" customFormat="1" ht="16.5" customHeight="1">
      <c r="B16" s="459" t="s">
        <v>369</v>
      </c>
      <c r="C16" s="1709">
        <v>11</v>
      </c>
      <c r="D16" s="1710"/>
      <c r="E16" s="1709">
        <v>7</v>
      </c>
      <c r="F16" s="1710"/>
      <c r="G16" s="1320">
        <v>5</v>
      </c>
      <c r="H16"/>
      <c r="T16" s="764"/>
    </row>
    <row r="17" spans="1:20" s="139" customFormat="1" ht="16.5" customHeight="1">
      <c r="B17" s="459" t="s">
        <v>1074</v>
      </c>
      <c r="C17" s="1709">
        <v>8</v>
      </c>
      <c r="D17" s="1710"/>
      <c r="E17" s="1709">
        <v>2</v>
      </c>
      <c r="F17" s="1710"/>
      <c r="G17" s="1320">
        <v>5</v>
      </c>
      <c r="H17"/>
      <c r="R17" s="1019"/>
      <c r="T17" s="764"/>
    </row>
    <row r="18" spans="1:20" ht="6.6" customHeight="1">
      <c r="T18" s="764"/>
    </row>
    <row r="19" spans="1:20" s="1161" customFormat="1" ht="18.75">
      <c r="A19" s="230"/>
      <c r="T19" s="764"/>
    </row>
    <row r="20" spans="1:20" ht="18.75">
      <c r="A20" s="230" t="s">
        <v>468</v>
      </c>
      <c r="T20" s="764"/>
    </row>
    <row r="21" spans="1:20" ht="6" customHeight="1">
      <c r="A21" s="230"/>
      <c r="T21" s="764"/>
    </row>
    <row r="22" spans="1:20" ht="18.75">
      <c r="A22" s="230"/>
    </row>
    <row r="34" spans="1:12" ht="18.75">
      <c r="A34" s="230" t="s">
        <v>473</v>
      </c>
    </row>
    <row r="35" spans="1:12" ht="5.65" customHeight="1"/>
    <row r="36" spans="1:12" ht="12.75">
      <c r="C36" s="528" t="s">
        <v>472</v>
      </c>
      <c r="D36" s="528"/>
      <c r="E36" s="528"/>
      <c r="F36" s="528"/>
      <c r="G36" s="528"/>
      <c r="H36" s="528"/>
      <c r="I36" s="528"/>
      <c r="J36" s="528"/>
      <c r="L36" s="412"/>
    </row>
    <row r="37" spans="1:12" ht="5.65" customHeight="1">
      <c r="C37" s="528"/>
      <c r="D37" s="528"/>
      <c r="E37" s="528"/>
      <c r="F37" s="528"/>
      <c r="G37" s="528"/>
      <c r="H37" s="528"/>
      <c r="I37" s="528"/>
      <c r="J37" s="528"/>
      <c r="L37" s="412"/>
    </row>
    <row r="38" spans="1:12" ht="13.9" customHeight="1">
      <c r="D38" s="1711" t="s">
        <v>848</v>
      </c>
      <c r="E38" s="1711"/>
      <c r="F38" s="1711" t="s">
        <v>965</v>
      </c>
      <c r="G38" s="1711"/>
      <c r="H38" s="1711" t="s">
        <v>1075</v>
      </c>
      <c r="I38" s="1711"/>
    </row>
    <row r="39" spans="1:12" ht="5.65" customHeight="1">
      <c r="D39" s="729"/>
      <c r="E39" s="729"/>
      <c r="F39" s="729"/>
      <c r="G39" s="729"/>
      <c r="H39" s="729"/>
      <c r="I39" s="729"/>
    </row>
    <row r="40" spans="1:12" ht="27.75" customHeight="1">
      <c r="C40" s="461"/>
      <c r="D40" s="458" t="s">
        <v>507</v>
      </c>
      <c r="E40" s="458" t="s">
        <v>506</v>
      </c>
      <c r="F40" s="458" t="s">
        <v>507</v>
      </c>
      <c r="G40" s="458" t="s">
        <v>506</v>
      </c>
      <c r="H40" s="458" t="s">
        <v>507</v>
      </c>
      <c r="I40" s="458" t="s">
        <v>506</v>
      </c>
    </row>
    <row r="41" spans="1:12" ht="12.6" customHeight="1">
      <c r="C41" s="459" t="s">
        <v>87</v>
      </c>
      <c r="D41" s="460">
        <v>281</v>
      </c>
      <c r="E41" s="460">
        <v>5</v>
      </c>
      <c r="F41" s="460">
        <v>377</v>
      </c>
      <c r="G41" s="460">
        <v>7</v>
      </c>
      <c r="H41" s="1351">
        <v>187</v>
      </c>
      <c r="I41" s="1351">
        <v>6</v>
      </c>
    </row>
    <row r="42" spans="1:12" ht="12.6" customHeight="1">
      <c r="C42" s="459" t="s">
        <v>469</v>
      </c>
      <c r="D42" s="460">
        <v>321</v>
      </c>
      <c r="E42" s="460">
        <v>1</v>
      </c>
      <c r="F42" s="460">
        <v>738</v>
      </c>
      <c r="G42" s="460">
        <v>3</v>
      </c>
      <c r="H42" s="1351">
        <v>143</v>
      </c>
      <c r="I42" s="1351">
        <v>2</v>
      </c>
    </row>
    <row r="43" spans="1:12" ht="12.6" customHeight="1">
      <c r="C43" s="459" t="s">
        <v>47</v>
      </c>
      <c r="D43" s="460">
        <v>602</v>
      </c>
      <c r="E43" s="460">
        <v>6</v>
      </c>
      <c r="F43" s="460">
        <v>1115</v>
      </c>
      <c r="G43" s="460">
        <v>10</v>
      </c>
      <c r="H43" s="1351">
        <f t="shared" ref="H43" si="0">SUM(H41:H42)</f>
        <v>330</v>
      </c>
      <c r="I43" s="1351">
        <f>SUM(I41:I42)</f>
        <v>8</v>
      </c>
    </row>
    <row r="46" spans="1:12">
      <c r="A46" s="284"/>
    </row>
    <row r="47" spans="1:12" ht="18" hidden="1" customHeight="1"/>
    <row r="48" spans="1:12">
      <c r="E48" s="462"/>
    </row>
  </sheetData>
  <mergeCells count="15">
    <mergeCell ref="E17:F17"/>
    <mergeCell ref="D38:E38"/>
    <mergeCell ref="H5:K5"/>
    <mergeCell ref="M5:P5"/>
    <mergeCell ref="A1:Q1"/>
    <mergeCell ref="C14:D14"/>
    <mergeCell ref="C15:D15"/>
    <mergeCell ref="C16:D16"/>
    <mergeCell ref="C17:D17"/>
    <mergeCell ref="B5:E5"/>
    <mergeCell ref="F38:G38"/>
    <mergeCell ref="H38:I38"/>
    <mergeCell ref="E14:F14"/>
    <mergeCell ref="E15:F15"/>
    <mergeCell ref="E16:F16"/>
  </mergeCells>
  <pageMargins left="0.11811023622047245" right="0.11811023622047245" top="0.15748031496062992" bottom="0.15748031496062992" header="0.31496062992125984" footer="0.31496062992125984"/>
  <pageSetup paperSize="9" scale="93" orientation="landscape" r:id="rId1"/>
  <rowBreaks count="1" manualBreakCount="1">
    <brk id="57" max="18" man="1"/>
  </row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92D050"/>
    <pageSetUpPr fitToPage="1"/>
  </sheetPr>
  <dimension ref="A1:U114"/>
  <sheetViews>
    <sheetView showGridLines="0" topLeftCell="A13" zoomScaleNormal="100" zoomScaleSheetLayoutView="120" workbookViewId="0">
      <selection activeCell="J17" sqref="J17"/>
    </sheetView>
  </sheetViews>
  <sheetFormatPr baseColWidth="10" defaultRowHeight="10.5"/>
  <cols>
    <col min="1" max="1" width="5.1640625" customWidth="1"/>
    <col min="2" max="2" width="12.6640625" customWidth="1"/>
    <col min="3" max="3" width="22.1640625" customWidth="1"/>
    <col min="5" max="5" width="12" bestFit="1" customWidth="1"/>
    <col min="6" max="6" width="13.6640625" customWidth="1"/>
    <col min="7" max="8" width="12.6640625" customWidth="1"/>
    <col min="9" max="9" width="15" customWidth="1"/>
    <col min="10" max="10" width="24.1640625" customWidth="1"/>
    <col min="11" max="11" width="13.83203125" bestFit="1" customWidth="1"/>
    <col min="12" max="12" width="26.33203125" bestFit="1" customWidth="1"/>
    <col min="13" max="14" width="10.6640625" customWidth="1"/>
    <col min="15" max="16" width="11.83203125" bestFit="1" customWidth="1"/>
  </cols>
  <sheetData>
    <row r="1" spans="1:17" ht="21">
      <c r="A1" s="174" t="s">
        <v>784</v>
      </c>
    </row>
    <row r="2" spans="1:17" ht="11.65" customHeight="1">
      <c r="A2" s="230"/>
    </row>
    <row r="3" spans="1:17" ht="16.149999999999999" customHeight="1">
      <c r="B3" s="425" t="s">
        <v>671</v>
      </c>
    </row>
    <row r="4" spans="1:17" ht="11.25" customHeight="1">
      <c r="A4" s="201"/>
    </row>
    <row r="5" spans="1:17" ht="15.75" customHeight="1">
      <c r="A5" s="230"/>
      <c r="B5" s="1754" t="s">
        <v>343</v>
      </c>
      <c r="C5" s="1755"/>
      <c r="D5" s="35"/>
      <c r="E5" s="35"/>
      <c r="J5" s="814"/>
    </row>
    <row r="6" spans="1:17" ht="11.25">
      <c r="B6" s="1754" t="s">
        <v>720</v>
      </c>
      <c r="C6" s="1755"/>
    </row>
    <row r="7" spans="1:17" ht="13.5" customHeight="1">
      <c r="B7" s="57"/>
      <c r="C7" s="57"/>
    </row>
    <row r="8" spans="1:17" ht="17.25">
      <c r="B8" s="425" t="s">
        <v>672</v>
      </c>
      <c r="C8" s="57"/>
    </row>
    <row r="9" spans="1:17" ht="12" thickBot="1">
      <c r="B9" s="57"/>
      <c r="C9" s="57"/>
    </row>
    <row r="10" spans="1:17" ht="24.75" customHeight="1" thickBot="1">
      <c r="B10" s="1702" t="s">
        <v>499</v>
      </c>
      <c r="C10" s="1701"/>
      <c r="D10" s="1756" t="s">
        <v>785</v>
      </c>
      <c r="E10" s="1757"/>
      <c r="F10" s="1757"/>
      <c r="G10" s="1757"/>
      <c r="H10" s="1757"/>
      <c r="I10" s="1757"/>
      <c r="J10" s="1757"/>
      <c r="K10" s="1757"/>
      <c r="L10" s="1757"/>
      <c r="M10" s="1757"/>
      <c r="N10" s="1757"/>
      <c r="O10" s="1757"/>
      <c r="P10" s="377"/>
      <c r="Q10" s="377"/>
    </row>
    <row r="11" spans="1:17" ht="4.5" customHeight="1" thickBot="1">
      <c r="B11" s="251"/>
      <c r="C11" s="251"/>
      <c r="D11" s="375"/>
      <c r="E11" s="376"/>
      <c r="F11" s="376"/>
      <c r="G11" s="376"/>
      <c r="H11" s="376"/>
      <c r="I11" s="376"/>
      <c r="J11" s="377"/>
      <c r="K11" s="377"/>
      <c r="L11" s="377"/>
      <c r="M11" s="377"/>
      <c r="N11" s="377"/>
      <c r="O11" s="377"/>
    </row>
    <row r="12" spans="1:17" ht="24.75" customHeight="1" thickBot="1">
      <c r="B12" s="1702" t="s">
        <v>270</v>
      </c>
      <c r="C12" s="1701"/>
      <c r="D12" s="1744" t="s">
        <v>498</v>
      </c>
      <c r="E12" s="1745"/>
      <c r="F12" s="1745"/>
      <c r="G12" s="1745"/>
      <c r="H12" s="1745"/>
      <c r="I12" s="1745"/>
      <c r="J12" s="1745"/>
      <c r="K12" s="1745"/>
      <c r="L12" s="1745"/>
      <c r="M12" s="1745"/>
      <c r="N12" s="1745"/>
      <c r="O12" s="1745"/>
    </row>
    <row r="13" spans="1:17" ht="4.5" customHeight="1" thickBot="1">
      <c r="B13" s="251"/>
      <c r="C13" s="251"/>
      <c r="D13" s="376"/>
      <c r="E13" s="376"/>
      <c r="F13" s="376"/>
      <c r="G13" s="376"/>
      <c r="H13" s="376"/>
      <c r="I13" s="376"/>
      <c r="J13" s="377"/>
      <c r="K13" s="377"/>
      <c r="L13" s="377"/>
      <c r="M13" s="377"/>
      <c r="N13" s="377"/>
      <c r="O13" s="377"/>
    </row>
    <row r="14" spans="1:17" ht="24.75" customHeight="1" thickBot="1">
      <c r="B14" s="1702" t="s">
        <v>326</v>
      </c>
      <c r="C14" s="1701"/>
      <c r="D14" s="1744" t="s">
        <v>497</v>
      </c>
      <c r="E14" s="1745"/>
      <c r="F14" s="1745"/>
      <c r="G14" s="1745"/>
      <c r="H14" s="1745"/>
      <c r="I14" s="1745"/>
      <c r="J14" s="1745"/>
      <c r="K14" s="1745"/>
      <c r="L14" s="1745"/>
      <c r="M14" s="1745"/>
      <c r="N14" s="1745"/>
      <c r="O14" s="1745"/>
      <c r="P14" s="196"/>
      <c r="Q14" s="196"/>
    </row>
    <row r="15" spans="1:17" s="178" customFormat="1" ht="15" customHeight="1" thickBot="1">
      <c r="B15" s="762"/>
      <c r="C15" s="763"/>
      <c r="D15" s="675"/>
      <c r="E15" s="675"/>
      <c r="F15" s="675"/>
      <c r="G15" s="675"/>
      <c r="H15" s="675"/>
      <c r="I15" s="675"/>
      <c r="J15" s="675"/>
      <c r="K15" s="675"/>
      <c r="L15" s="675"/>
      <c r="M15" s="675"/>
      <c r="N15" s="675"/>
      <c r="O15" s="675"/>
      <c r="P15" s="676"/>
      <c r="Q15" s="676"/>
    </row>
    <row r="16" spans="1:17" s="178" customFormat="1" ht="15" customHeight="1" thickBot="1">
      <c r="B16" s="1744" t="s">
        <v>745</v>
      </c>
      <c r="C16" s="1745"/>
      <c r="D16" s="1745"/>
      <c r="E16" s="1745"/>
      <c r="F16" s="1745"/>
      <c r="G16" s="1745"/>
      <c r="H16" s="1745"/>
      <c r="I16" s="1745"/>
      <c r="J16" s="1745"/>
      <c r="K16" s="1745"/>
      <c r="L16" s="1745"/>
      <c r="M16" s="675"/>
      <c r="N16" s="675"/>
      <c r="O16" s="675"/>
      <c r="P16" s="676"/>
      <c r="Q16" s="676"/>
    </row>
    <row r="17" spans="2:15" ht="13.9" customHeight="1" thickBot="1">
      <c r="B17" s="1746"/>
      <c r="C17" s="1747"/>
      <c r="D17" s="375"/>
      <c r="E17" s="376"/>
      <c r="F17" s="376"/>
      <c r="G17" s="376"/>
      <c r="H17" s="376"/>
      <c r="I17" s="376"/>
      <c r="J17" s="377"/>
      <c r="K17" s="377"/>
      <c r="L17" s="377"/>
      <c r="M17" s="377"/>
      <c r="N17" s="377"/>
      <c r="O17" s="377"/>
    </row>
    <row r="18" spans="2:15" s="178" customFormat="1" ht="17.25">
      <c r="B18" s="425" t="s">
        <v>454</v>
      </c>
      <c r="C18" s="273"/>
      <c r="D18" s="66"/>
      <c r="E18" s="357"/>
      <c r="F18" s="357"/>
      <c r="G18" s="357"/>
      <c r="H18" s="357"/>
      <c r="I18" s="357"/>
    </row>
    <row r="19" spans="2:15" s="178" customFormat="1" ht="11.25">
      <c r="B19" s="273"/>
      <c r="C19" s="273"/>
      <c r="D19" s="66"/>
      <c r="E19" s="779"/>
      <c r="G19" s="779"/>
      <c r="H19" s="779"/>
      <c r="I19" s="780"/>
    </row>
    <row r="20" spans="2:15" s="178" customFormat="1" ht="11.25">
      <c r="B20" s="273"/>
      <c r="C20" s="66" t="s">
        <v>1080</v>
      </c>
      <c r="D20" s="66" t="s">
        <v>1078</v>
      </c>
      <c r="E20" s="782"/>
      <c r="G20" s="388"/>
      <c r="H20" s="388"/>
      <c r="I20" s="781"/>
    </row>
    <row r="21" spans="2:15" s="178" customFormat="1" ht="11.25">
      <c r="B21" s="273"/>
      <c r="C21" s="66" t="s">
        <v>1081</v>
      </c>
      <c r="D21" s="66" t="s">
        <v>1079</v>
      </c>
      <c r="E21" s="782"/>
      <c r="F21" s="783"/>
      <c r="G21" s="388"/>
      <c r="H21" s="388"/>
      <c r="I21" s="781"/>
    </row>
    <row r="22" spans="2:15" s="178" customFormat="1" ht="11.25">
      <c r="B22" s="273"/>
      <c r="C22" s="273"/>
      <c r="D22" s="66"/>
      <c r="E22" s="357"/>
      <c r="F22" s="357"/>
      <c r="G22" s="357"/>
      <c r="H22" s="357"/>
      <c r="I22" s="357"/>
    </row>
    <row r="23" spans="2:15" s="178" customFormat="1" ht="11.25">
      <c r="B23" s="273"/>
      <c r="C23" s="273"/>
      <c r="D23" s="66"/>
      <c r="E23" s="357"/>
      <c r="F23" s="357"/>
      <c r="G23" s="357"/>
      <c r="H23" s="357"/>
      <c r="I23" s="357"/>
    </row>
    <row r="24" spans="2:15" s="178" customFormat="1" ht="11.25">
      <c r="B24" s="273"/>
      <c r="C24" s="273"/>
      <c r="D24" s="66"/>
      <c r="E24" s="357"/>
      <c r="F24" s="357"/>
      <c r="G24" s="357"/>
      <c r="H24" s="357"/>
      <c r="I24" s="357"/>
    </row>
    <row r="25" spans="2:15" s="178" customFormat="1" ht="11.25">
      <c r="B25" s="273" t="s">
        <v>496</v>
      </c>
      <c r="C25" s="273"/>
      <c r="D25" s="66"/>
      <c r="E25" s="357"/>
      <c r="F25" s="357"/>
      <c r="G25" s="357"/>
      <c r="H25" s="357"/>
      <c r="I25" s="357"/>
    </row>
    <row r="26" spans="2:15" s="178" customFormat="1" ht="11.25">
      <c r="B26" s="273"/>
      <c r="C26" s="273"/>
      <c r="D26" s="66"/>
      <c r="E26" s="357"/>
      <c r="F26" s="357"/>
      <c r="G26" s="357"/>
      <c r="H26" s="357"/>
      <c r="I26" s="357"/>
    </row>
    <row r="27" spans="2:15" s="178" customFormat="1" ht="17.25">
      <c r="B27" s="425" t="s">
        <v>346</v>
      </c>
      <c r="C27" s="273"/>
      <c r="D27" s="66"/>
      <c r="E27" s="357"/>
      <c r="F27" s="357"/>
      <c r="G27" s="357"/>
      <c r="H27" s="357"/>
      <c r="I27" s="357"/>
    </row>
    <row r="28" spans="2:15" s="178" customFormat="1" ht="15">
      <c r="B28" s="201"/>
      <c r="C28" s="273"/>
      <c r="D28" s="66"/>
      <c r="E28" s="357"/>
      <c r="F28" s="357"/>
      <c r="G28" s="357"/>
      <c r="H28" s="357"/>
      <c r="I28" s="357"/>
    </row>
    <row r="29" spans="2:15" ht="11.25" thickBot="1"/>
    <row r="30" spans="2:15" s="178" customFormat="1" ht="22.5" customHeight="1" thickBot="1">
      <c r="B30" s="201"/>
      <c r="F30" s="357"/>
      <c r="G30" s="357"/>
      <c r="H30" s="357"/>
      <c r="I30" s="357"/>
      <c r="J30" s="1352">
        <v>0.26</v>
      </c>
      <c r="K30" s="426" t="s">
        <v>347</v>
      </c>
      <c r="L30"/>
    </row>
    <row r="31" spans="2:15" s="178" customFormat="1" ht="22.5" customHeight="1" thickBot="1">
      <c r="B31" s="201"/>
      <c r="F31" s="357"/>
      <c r="G31" s="357"/>
      <c r="H31" s="357"/>
      <c r="I31" s="357"/>
      <c r="J31" s="1352">
        <v>0.34</v>
      </c>
      <c r="K31" s="426" t="s">
        <v>348</v>
      </c>
      <c r="L31"/>
    </row>
    <row r="32" spans="2:15" s="178" customFormat="1" ht="22.5" customHeight="1" thickBot="1">
      <c r="B32" s="201"/>
      <c r="F32" s="357"/>
      <c r="G32" s="357"/>
      <c r="H32" s="357"/>
      <c r="I32" s="357"/>
      <c r="J32" s="1352">
        <v>0.4</v>
      </c>
      <c r="K32" s="426" t="s">
        <v>349</v>
      </c>
      <c r="L32"/>
    </row>
    <row r="33" spans="1:20" s="178" customFormat="1" ht="22.5" customHeight="1" thickBot="1">
      <c r="B33" s="201"/>
      <c r="F33" s="357"/>
      <c r="G33" s="357"/>
      <c r="H33" s="357"/>
      <c r="I33" s="357"/>
      <c r="J33" s="497"/>
      <c r="K33" s="1748"/>
      <c r="L33" s="1749"/>
    </row>
    <row r="34" spans="1:20" s="178" customFormat="1" ht="11.25">
      <c r="B34" s="273"/>
      <c r="C34" s="273"/>
      <c r="D34" s="66"/>
      <c r="E34" s="357"/>
      <c r="F34" s="357"/>
      <c r="G34" s="357"/>
      <c r="H34" s="357"/>
      <c r="I34" s="357"/>
    </row>
    <row r="35" spans="1:20" s="178" customFormat="1" ht="11.25">
      <c r="B35" s="273"/>
      <c r="C35" s="273"/>
      <c r="D35" s="66"/>
      <c r="E35" s="357"/>
      <c r="F35" s="357"/>
      <c r="G35" s="357"/>
      <c r="H35" s="357"/>
      <c r="I35" s="357"/>
    </row>
    <row r="36" spans="1:20" ht="17.25">
      <c r="A36" s="425" t="s">
        <v>350</v>
      </c>
    </row>
    <row r="37" spans="1:20" ht="8.25" customHeight="1" thickBot="1"/>
    <row r="38" spans="1:20" ht="17.25" customHeight="1" thickBot="1">
      <c r="C38" s="761">
        <v>2020</v>
      </c>
      <c r="D38" s="1750">
        <v>2021</v>
      </c>
      <c r="E38" s="1751"/>
      <c r="F38" s="1750">
        <v>2022</v>
      </c>
      <c r="G38" s="1751"/>
    </row>
    <row r="39" spans="1:20" ht="21" customHeight="1" thickBot="1">
      <c r="B39" s="426" t="s">
        <v>89</v>
      </c>
      <c r="C39" s="760">
        <v>0.79</v>
      </c>
      <c r="D39" s="1732">
        <v>0.67</v>
      </c>
      <c r="E39" s="1733"/>
      <c r="F39" s="1752">
        <v>0.68</v>
      </c>
      <c r="G39" s="1753"/>
      <c r="P39" s="284"/>
    </row>
    <row r="40" spans="1:20" ht="21" customHeight="1" thickBot="1">
      <c r="B40" s="426" t="s">
        <v>88</v>
      </c>
      <c r="C40" s="760">
        <v>0.21</v>
      </c>
      <c r="D40" s="1732">
        <v>0.33</v>
      </c>
      <c r="E40" s="1733"/>
      <c r="F40" s="1752">
        <v>0.32</v>
      </c>
      <c r="G40" s="1753"/>
    </row>
    <row r="41" spans="1:20" ht="6.75" customHeight="1"/>
    <row r="42" spans="1:20" ht="21.75" customHeight="1" thickBot="1">
      <c r="D42" s="1729">
        <v>2020</v>
      </c>
      <c r="E42" s="1729"/>
      <c r="F42" s="1728">
        <v>2021</v>
      </c>
      <c r="G42" s="1728"/>
      <c r="H42" s="1728">
        <v>2022</v>
      </c>
      <c r="I42" s="1728"/>
      <c r="T42" s="145"/>
    </row>
    <row r="43" spans="1:20" ht="21.75" customHeight="1" thickBot="1">
      <c r="D43" s="419" t="s">
        <v>832</v>
      </c>
      <c r="E43" s="419" t="s">
        <v>818</v>
      </c>
      <c r="F43" s="419" t="s">
        <v>832</v>
      </c>
      <c r="G43" s="419" t="s">
        <v>818</v>
      </c>
      <c r="H43" s="419" t="s">
        <v>832</v>
      </c>
      <c r="I43" s="419" t="s">
        <v>818</v>
      </c>
      <c r="T43" s="145"/>
    </row>
    <row r="44" spans="1:20" ht="17.25" customHeight="1">
      <c r="B44" s="1737" t="s">
        <v>786</v>
      </c>
      <c r="C44" s="1740" t="s">
        <v>123</v>
      </c>
      <c r="D44" s="1726">
        <v>0.19</v>
      </c>
      <c r="E44" s="1724">
        <v>0.5</v>
      </c>
      <c r="F44" s="1726">
        <v>0.27</v>
      </c>
      <c r="G44" s="1724">
        <v>0.43</v>
      </c>
      <c r="H44" s="1716">
        <v>0.36</v>
      </c>
      <c r="I44" s="1720">
        <v>0.47</v>
      </c>
    </row>
    <row r="45" spans="1:20" ht="12.4" customHeight="1" thickBot="1">
      <c r="B45" s="1738"/>
      <c r="C45" s="1741"/>
      <c r="D45" s="1727"/>
      <c r="E45" s="1725"/>
      <c r="F45" s="1727"/>
      <c r="G45" s="1725"/>
      <c r="H45" s="1717"/>
      <c r="I45" s="1721"/>
      <c r="N45" s="399"/>
      <c r="R45" s="145"/>
    </row>
    <row r="46" spans="1:20" ht="12.4" customHeight="1">
      <c r="B46" s="1738"/>
      <c r="C46" s="1742" t="s">
        <v>312</v>
      </c>
      <c r="D46" s="1726">
        <v>0.71</v>
      </c>
      <c r="E46" s="1724">
        <v>0.86</v>
      </c>
      <c r="F46" s="1726">
        <v>0.73</v>
      </c>
      <c r="G46" s="1724">
        <v>0.84</v>
      </c>
      <c r="H46" s="1716">
        <v>0.63</v>
      </c>
      <c r="I46" s="1720">
        <v>0.79</v>
      </c>
      <c r="N46" s="399"/>
    </row>
    <row r="47" spans="1:20" ht="12.4" customHeight="1" thickBot="1">
      <c r="B47" s="1739"/>
      <c r="C47" s="1743"/>
      <c r="D47" s="1727"/>
      <c r="E47" s="1725"/>
      <c r="F47" s="1727"/>
      <c r="G47" s="1725"/>
      <c r="H47" s="1717"/>
      <c r="I47" s="1721"/>
      <c r="O47" s="399"/>
      <c r="P47" s="399"/>
    </row>
    <row r="48" spans="1:20" ht="12" customHeight="1" thickBot="1">
      <c r="D48" s="1161"/>
      <c r="E48" s="925"/>
      <c r="F48" s="925"/>
      <c r="G48" s="925"/>
      <c r="H48" s="1310"/>
      <c r="I48" s="1310"/>
      <c r="Q48" s="399"/>
    </row>
    <row r="49" spans="2:21" ht="12.4" customHeight="1" thickBot="1">
      <c r="B49" s="1737" t="s">
        <v>455</v>
      </c>
      <c r="C49" s="1740" t="s">
        <v>267</v>
      </c>
      <c r="D49" s="1726">
        <v>0.75</v>
      </c>
      <c r="E49" s="1724">
        <v>0.87</v>
      </c>
      <c r="F49" s="1726">
        <v>0.7</v>
      </c>
      <c r="G49" s="1724">
        <v>0.83</v>
      </c>
      <c r="H49" s="1716">
        <v>0.72</v>
      </c>
      <c r="I49" s="1720">
        <v>0.78</v>
      </c>
      <c r="M49" s="419">
        <v>2020</v>
      </c>
      <c r="N49" s="419" t="s">
        <v>818</v>
      </c>
      <c r="O49" s="419">
        <v>2021</v>
      </c>
      <c r="P49" s="419" t="s">
        <v>818</v>
      </c>
      <c r="Q49" s="419">
        <v>2021</v>
      </c>
      <c r="R49" s="419" t="s">
        <v>818</v>
      </c>
    </row>
    <row r="50" spans="2:21" ht="13.5" customHeight="1" thickBot="1">
      <c r="B50" s="1738"/>
      <c r="C50" s="1741"/>
      <c r="D50" s="1727"/>
      <c r="E50" s="1725"/>
      <c r="F50" s="1727"/>
      <c r="G50" s="1725"/>
      <c r="H50" s="1717"/>
      <c r="I50" s="1721"/>
      <c r="K50" s="1763" t="s">
        <v>327</v>
      </c>
      <c r="L50" s="1338" t="s">
        <v>329</v>
      </c>
      <c r="M50" s="1726">
        <v>0.34</v>
      </c>
      <c r="N50" s="1722"/>
      <c r="O50" s="1726">
        <v>0.37</v>
      </c>
      <c r="P50" s="1722"/>
      <c r="Q50" s="1716">
        <v>0.34</v>
      </c>
      <c r="R50" s="1718"/>
      <c r="S50" s="145"/>
      <c r="T50" s="145"/>
    </row>
    <row r="51" spans="2:21" ht="13.5" customHeight="1" thickBot="1">
      <c r="B51" s="1738"/>
      <c r="C51" s="1740" t="s">
        <v>171</v>
      </c>
      <c r="D51" s="1726">
        <v>0.25</v>
      </c>
      <c r="E51" s="1724">
        <v>1</v>
      </c>
      <c r="F51" s="1726">
        <v>0.3</v>
      </c>
      <c r="G51" s="1724">
        <v>0.69</v>
      </c>
      <c r="H51" s="1716">
        <v>0.28000000000000003</v>
      </c>
      <c r="I51" s="1720">
        <v>0.55000000000000004</v>
      </c>
      <c r="K51" s="1763"/>
      <c r="L51" s="1339"/>
      <c r="M51" s="1727"/>
      <c r="N51" s="1723"/>
      <c r="O51" s="1727"/>
      <c r="P51" s="1723"/>
      <c r="Q51" s="1717"/>
      <c r="R51" s="1719"/>
      <c r="S51" s="145"/>
      <c r="T51" s="145"/>
      <c r="U51" s="145"/>
    </row>
    <row r="52" spans="2:21" ht="13.5" customHeight="1" thickBot="1">
      <c r="B52" s="1739"/>
      <c r="C52" s="1741"/>
      <c r="D52" s="1727"/>
      <c r="E52" s="1725"/>
      <c r="F52" s="1727"/>
      <c r="G52" s="1725"/>
      <c r="H52" s="1717"/>
      <c r="I52" s="1721"/>
      <c r="K52" s="1763"/>
      <c r="L52" s="1338" t="s">
        <v>330</v>
      </c>
      <c r="M52" s="1726">
        <v>0.26</v>
      </c>
      <c r="N52" s="1724">
        <v>0.85</v>
      </c>
      <c r="O52" s="1726">
        <v>0.27</v>
      </c>
      <c r="P52" s="1724">
        <v>0.92</v>
      </c>
      <c r="Q52" s="1716">
        <v>0.28000000000000003</v>
      </c>
      <c r="R52" s="1720">
        <v>0.85</v>
      </c>
      <c r="S52" s="145"/>
      <c r="T52" s="145"/>
      <c r="U52" s="145"/>
    </row>
    <row r="53" spans="2:21" ht="13.5" customHeight="1" thickBot="1">
      <c r="D53" s="1161"/>
      <c r="E53" s="925"/>
      <c r="F53" s="925"/>
      <c r="G53" s="925"/>
      <c r="H53" s="1310"/>
      <c r="I53" s="1310"/>
      <c r="K53" s="1763"/>
      <c r="L53" s="1339"/>
      <c r="M53" s="1727"/>
      <c r="N53" s="1725"/>
      <c r="O53" s="1727"/>
      <c r="P53" s="1725"/>
      <c r="Q53" s="1717"/>
      <c r="R53" s="1721"/>
      <c r="S53" s="145"/>
      <c r="T53" s="145"/>
      <c r="U53" s="145"/>
    </row>
    <row r="54" spans="2:21" ht="24.75" customHeight="1" thickBot="1">
      <c r="B54" s="1736" t="s">
        <v>456</v>
      </c>
      <c r="C54" s="440" t="s">
        <v>60</v>
      </c>
      <c r="D54" s="1337">
        <v>0.06</v>
      </c>
      <c r="E54" s="1341">
        <v>0.67</v>
      </c>
      <c r="F54" s="1438">
        <v>0.18</v>
      </c>
      <c r="G54" s="1439">
        <v>0.86</v>
      </c>
      <c r="H54" s="1437">
        <v>0.21</v>
      </c>
      <c r="I54" s="1436">
        <v>0.77</v>
      </c>
      <c r="K54" s="1763"/>
      <c r="L54" s="1338" t="s">
        <v>328</v>
      </c>
      <c r="M54" s="1337">
        <v>0.24</v>
      </c>
      <c r="N54" s="1341">
        <v>0.89</v>
      </c>
      <c r="O54" s="1438">
        <v>0.24</v>
      </c>
      <c r="P54" s="1439">
        <v>0.7</v>
      </c>
      <c r="Q54" s="1437">
        <v>0.23</v>
      </c>
      <c r="R54" s="1436">
        <v>0.6</v>
      </c>
      <c r="S54" s="399"/>
    </row>
    <row r="55" spans="2:21" ht="24.75" customHeight="1" thickBot="1">
      <c r="B55" s="1736"/>
      <c r="C55" s="440" t="s">
        <v>61</v>
      </c>
      <c r="D55" s="1337">
        <v>0.35</v>
      </c>
      <c r="E55" s="1341">
        <v>0.89</v>
      </c>
      <c r="F55" s="1438">
        <v>0.28000000000000003</v>
      </c>
      <c r="G55" s="1439">
        <v>0.86</v>
      </c>
      <c r="H55" s="1437">
        <v>0.36</v>
      </c>
      <c r="I55" s="1436">
        <v>0.83</v>
      </c>
      <c r="K55" s="1763"/>
      <c r="L55" s="1338" t="s">
        <v>625</v>
      </c>
      <c r="M55" s="1337">
        <v>0.16</v>
      </c>
      <c r="N55" s="1340"/>
      <c r="O55" s="1438">
        <v>0.13</v>
      </c>
      <c r="P55" s="1340"/>
      <c r="Q55" s="1437">
        <v>0.15</v>
      </c>
      <c r="R55" s="1342"/>
    </row>
    <row r="56" spans="2:21" ht="24.75" customHeight="1">
      <c r="B56" s="1736"/>
      <c r="C56" s="440" t="s">
        <v>62</v>
      </c>
      <c r="D56" s="1337">
        <v>0.59</v>
      </c>
      <c r="E56" s="1341">
        <v>0.87</v>
      </c>
      <c r="F56" s="1438">
        <v>0.41</v>
      </c>
      <c r="G56" s="1439">
        <v>0.73</v>
      </c>
      <c r="H56" s="1437">
        <v>0.43</v>
      </c>
      <c r="I56" s="1436">
        <v>0.7</v>
      </c>
    </row>
    <row r="59" spans="2:21">
      <c r="B59" s="298"/>
    </row>
    <row r="64" spans="2:21" ht="12">
      <c r="J64" s="429"/>
      <c r="K64" s="429"/>
      <c r="L64" s="429"/>
      <c r="M64" s="429"/>
      <c r="N64" s="429"/>
    </row>
    <row r="65" spans="1:15" ht="21" customHeight="1">
      <c r="B65" s="1734" t="s">
        <v>352</v>
      </c>
      <c r="C65" s="1735"/>
      <c r="J65" s="429"/>
      <c r="K65" s="429"/>
      <c r="L65" s="429"/>
      <c r="M65" s="429"/>
      <c r="N65" s="429"/>
    </row>
    <row r="66" spans="1:15" ht="12">
      <c r="B66" s="298"/>
      <c r="I66" s="429"/>
      <c r="O66" s="429"/>
    </row>
    <row r="67" spans="1:15" ht="12">
      <c r="B67" s="429"/>
      <c r="C67" s="429"/>
      <c r="D67" s="429"/>
      <c r="E67" s="429"/>
      <c r="F67" s="429"/>
      <c r="G67" s="429"/>
      <c r="H67" s="429"/>
      <c r="I67" s="429"/>
      <c r="O67" s="429"/>
    </row>
    <row r="68" spans="1:15" ht="10.15" customHeight="1">
      <c r="B68" s="298"/>
    </row>
    <row r="69" spans="1:15" ht="17.25">
      <c r="A69" s="425" t="s">
        <v>351</v>
      </c>
    </row>
    <row r="72" spans="1:15" ht="21" customHeight="1"/>
    <row r="73" spans="1:15" ht="34.15" customHeight="1"/>
    <row r="74" spans="1:15" ht="17.25">
      <c r="A74" s="425" t="s">
        <v>673</v>
      </c>
    </row>
    <row r="78" spans="1:15" ht="11.25">
      <c r="A78" s="56"/>
      <c r="B78" s="56"/>
      <c r="C78" s="56"/>
      <c r="D78" s="56"/>
      <c r="E78" s="56"/>
      <c r="F78" s="56"/>
      <c r="G78" s="56"/>
      <c r="H78" s="56"/>
      <c r="J78" s="284"/>
      <c r="K78" s="284"/>
      <c r="L78" s="284"/>
      <c r="M78" s="284"/>
      <c r="N78" s="284"/>
    </row>
    <row r="79" spans="1:15" ht="12" thickBot="1">
      <c r="A79" s="56"/>
      <c r="B79" s="56"/>
      <c r="C79" s="56"/>
      <c r="D79" s="56"/>
      <c r="E79" s="56"/>
      <c r="F79" s="56"/>
      <c r="G79" s="56"/>
      <c r="H79" s="56"/>
      <c r="L79" s="284"/>
      <c r="M79" s="284"/>
      <c r="N79" s="284"/>
    </row>
    <row r="80" spans="1:15" ht="20.25" customHeight="1" thickBot="1">
      <c r="B80" s="284"/>
      <c r="C80" s="284"/>
      <c r="D80" s="284"/>
      <c r="E80" s="284"/>
      <c r="F80" s="284"/>
      <c r="G80" s="427">
        <v>2020</v>
      </c>
      <c r="H80" s="427">
        <v>2021</v>
      </c>
      <c r="I80" s="427">
        <v>2022</v>
      </c>
      <c r="L80" s="284"/>
      <c r="M80" s="284"/>
      <c r="N80" s="284"/>
      <c r="O80" s="284"/>
    </row>
    <row r="81" spans="1:15" ht="24" customHeight="1" thickBot="1">
      <c r="B81" s="284"/>
      <c r="C81" s="420" t="s">
        <v>361</v>
      </c>
      <c r="D81" s="703" t="s">
        <v>362</v>
      </c>
      <c r="E81" s="703" t="s">
        <v>818</v>
      </c>
      <c r="F81" s="284"/>
      <c r="G81" s="704">
        <v>0.6</v>
      </c>
      <c r="H81" s="704">
        <v>0.6</v>
      </c>
      <c r="I81" s="1359">
        <v>0.54</v>
      </c>
      <c r="J81" s="1054" t="s">
        <v>363</v>
      </c>
      <c r="L81" s="242"/>
      <c r="M81" s="284"/>
      <c r="N81" s="284"/>
      <c r="O81" s="284"/>
    </row>
    <row r="82" spans="1:15" ht="24" customHeight="1" thickBot="1">
      <c r="B82" s="170">
        <v>2020</v>
      </c>
      <c r="C82" s="526">
        <v>27356</v>
      </c>
      <c r="D82" s="420">
        <v>92</v>
      </c>
      <c r="E82" s="420">
        <v>63</v>
      </c>
      <c r="F82" s="284"/>
      <c r="G82" s="704">
        <v>0.09</v>
      </c>
      <c r="H82" s="704">
        <v>0.08</v>
      </c>
      <c r="I82" s="1359">
        <v>0.09</v>
      </c>
      <c r="J82" s="1054" t="s">
        <v>364</v>
      </c>
      <c r="L82" s="284"/>
      <c r="M82" s="284"/>
      <c r="N82" s="284"/>
      <c r="O82" s="284"/>
    </row>
    <row r="83" spans="1:15" ht="24" customHeight="1" thickBot="1">
      <c r="B83" s="170">
        <v>2021</v>
      </c>
      <c r="C83" s="526">
        <v>31048</v>
      </c>
      <c r="D83" s="420">
        <v>47</v>
      </c>
      <c r="E83" s="420">
        <v>14</v>
      </c>
      <c r="F83" s="284"/>
      <c r="G83" s="704">
        <v>0.11</v>
      </c>
      <c r="H83" s="704">
        <v>0.14000000000000001</v>
      </c>
      <c r="I83" s="1359">
        <v>0.2</v>
      </c>
      <c r="J83" s="1053" t="s">
        <v>365</v>
      </c>
      <c r="L83" s="284"/>
      <c r="M83" s="284"/>
      <c r="N83" s="284"/>
      <c r="O83" s="284"/>
    </row>
    <row r="84" spans="1:15" ht="24" customHeight="1" thickBot="1">
      <c r="B84" s="1353">
        <v>2022</v>
      </c>
      <c r="C84" s="1349">
        <v>34769</v>
      </c>
      <c r="D84" s="1348">
        <v>55</v>
      </c>
      <c r="E84" s="1348">
        <v>16</v>
      </c>
      <c r="F84" s="284"/>
      <c r="G84" s="704">
        <v>0.19</v>
      </c>
      <c r="H84" s="704">
        <v>0.17</v>
      </c>
      <c r="I84" s="1359">
        <v>0.17</v>
      </c>
      <c r="J84" s="1052" t="s">
        <v>708</v>
      </c>
      <c r="N84" s="284"/>
      <c r="O84" s="284"/>
    </row>
    <row r="85" spans="1:15" ht="24" customHeight="1" thickBot="1">
      <c r="B85" s="284"/>
      <c r="C85" s="284"/>
      <c r="D85" s="284"/>
      <c r="E85" s="284"/>
      <c r="F85" s="284"/>
      <c r="G85" s="704">
        <v>0.01</v>
      </c>
      <c r="H85" s="704">
        <v>0.01</v>
      </c>
      <c r="I85" s="1359">
        <v>0.01</v>
      </c>
      <c r="J85" s="1053" t="s">
        <v>366</v>
      </c>
      <c r="N85" s="284"/>
      <c r="O85" s="284"/>
    </row>
    <row r="90" spans="1:15" ht="18" customHeight="1"/>
    <row r="92" spans="1:15" ht="21">
      <c r="A92" s="174" t="s">
        <v>692</v>
      </c>
    </row>
    <row r="95" spans="1:15" ht="11.25" thickBot="1"/>
    <row r="96" spans="1:15" ht="11.25" thickBot="1">
      <c r="J96" s="902"/>
    </row>
    <row r="97" spans="3:16" ht="6.6" customHeight="1" thickBot="1">
      <c r="K97" s="139"/>
      <c r="L97" s="139"/>
      <c r="M97" s="139"/>
      <c r="N97" s="139"/>
    </row>
    <row r="98" spans="3:16" ht="15.4" customHeight="1" thickBot="1">
      <c r="E98" s="1758">
        <v>2020</v>
      </c>
      <c r="F98" s="1759"/>
      <c r="G98" s="1760">
        <v>2021</v>
      </c>
      <c r="H98" s="1762"/>
      <c r="I98" s="1760">
        <v>2022</v>
      </c>
      <c r="J98" s="1761"/>
      <c r="K98" s="139"/>
    </row>
    <row r="99" spans="3:16" s="139" customFormat="1" ht="18.75" customHeight="1" thickBot="1">
      <c r="E99" s="427" t="s">
        <v>150</v>
      </c>
      <c r="F99" s="427" t="s">
        <v>201</v>
      </c>
      <c r="G99" s="427" t="s">
        <v>150</v>
      </c>
      <c r="H99" s="427" t="s">
        <v>201</v>
      </c>
      <c r="I99" s="427" t="s">
        <v>150</v>
      </c>
      <c r="J99" s="427" t="s">
        <v>201</v>
      </c>
    </row>
    <row r="100" spans="3:16" s="139" customFormat="1" ht="16.899999999999999" customHeight="1" thickBot="1">
      <c r="C100" s="1730" t="s">
        <v>693</v>
      </c>
      <c r="D100" s="1731"/>
      <c r="E100" s="420">
        <v>113</v>
      </c>
      <c r="F100" s="526">
        <v>6293</v>
      </c>
      <c r="G100" s="420">
        <v>113</v>
      </c>
      <c r="H100" s="526">
        <v>6293</v>
      </c>
      <c r="I100" s="1348">
        <v>192</v>
      </c>
      <c r="J100" s="1349">
        <v>51163</v>
      </c>
      <c r="L100" s="139">
        <f>I100</f>
        <v>192</v>
      </c>
      <c r="M100" s="139">
        <v>84</v>
      </c>
      <c r="N100" s="1086">
        <f>M100/L100</f>
        <v>0.4375</v>
      </c>
    </row>
    <row r="101" spans="3:16" s="139" customFormat="1" ht="18.75" customHeight="1" thickBot="1">
      <c r="C101" s="1730" t="s">
        <v>694</v>
      </c>
      <c r="D101" s="1731"/>
      <c r="E101" s="420">
        <v>150</v>
      </c>
      <c r="F101" s="526">
        <v>28988</v>
      </c>
      <c r="G101" s="420">
        <v>137</v>
      </c>
      <c r="H101" s="526">
        <v>27769</v>
      </c>
      <c r="I101" s="1348">
        <v>170</v>
      </c>
      <c r="J101" s="1349">
        <v>38688</v>
      </c>
      <c r="K101"/>
      <c r="L101" s="139">
        <f>I101</f>
        <v>170</v>
      </c>
      <c r="M101" s="139">
        <v>111</v>
      </c>
      <c r="N101" s="1086">
        <f t="shared" ref="N101:N102" si="0">M101/L101</f>
        <v>0.65294117647058825</v>
      </c>
    </row>
    <row r="102" spans="3:16" s="139" customFormat="1" ht="18.75" customHeight="1" thickBot="1">
      <c r="C102" s="1730" t="s">
        <v>695</v>
      </c>
      <c r="D102" s="1731"/>
      <c r="E102" s="771">
        <f t="shared" ref="E102:H102" si="1">SUM(E100:E101)</f>
        <v>263</v>
      </c>
      <c r="F102" s="529">
        <f t="shared" si="1"/>
        <v>35281</v>
      </c>
      <c r="G102" s="771">
        <f t="shared" si="1"/>
        <v>250</v>
      </c>
      <c r="H102" s="529">
        <f t="shared" si="1"/>
        <v>34062</v>
      </c>
      <c r="I102" s="771">
        <f>SUM(I100:I101)</f>
        <v>362</v>
      </c>
      <c r="J102" s="529">
        <f>SUM(J100:J101)</f>
        <v>89851</v>
      </c>
      <c r="K102"/>
      <c r="L102" s="139">
        <f>L100+L101</f>
        <v>362</v>
      </c>
      <c r="M102" s="139">
        <f>M100+M101</f>
        <v>195</v>
      </c>
      <c r="N102" s="1086">
        <f t="shared" si="0"/>
        <v>0.53867403314917128</v>
      </c>
    </row>
    <row r="103" spans="3:16" s="1161" customFormat="1" ht="9.4" customHeight="1">
      <c r="O103" s="1162"/>
      <c r="P103" s="1162"/>
    </row>
    <row r="104" spans="3:16" s="1161" customFormat="1" ht="9.4" customHeight="1">
      <c r="O104" s="1162"/>
      <c r="P104" s="1162"/>
    </row>
    <row r="105" spans="3:16" s="1161" customFormat="1" ht="9.4" customHeight="1">
      <c r="O105" s="1162"/>
      <c r="P105" s="1162"/>
    </row>
    <row r="106" spans="3:16" s="1161" customFormat="1" ht="9.4" customHeight="1">
      <c r="O106" s="1162"/>
      <c r="P106" s="1162"/>
    </row>
    <row r="107" spans="3:16" s="1161" customFormat="1" ht="15.75" customHeight="1" thickBot="1">
      <c r="O107" s="1162"/>
      <c r="P107" s="1162"/>
    </row>
    <row r="108" spans="3:16" s="1161" customFormat="1" ht="16.899999999999999" customHeight="1" thickBot="1">
      <c r="E108" s="1212">
        <v>2020</v>
      </c>
      <c r="F108" s="1213"/>
      <c r="G108" s="1212"/>
      <c r="H108" s="1212">
        <v>2021</v>
      </c>
      <c r="I108" s="1213"/>
      <c r="J108" s="1212"/>
      <c r="K108" s="1212">
        <v>2022</v>
      </c>
      <c r="L108" s="1213"/>
      <c r="M108" s="1212"/>
      <c r="O108" s="1162"/>
      <c r="P108" s="1162"/>
    </row>
    <row r="109" spans="3:16" s="1161" customFormat="1" ht="16.899999999999999" customHeight="1" thickBot="1">
      <c r="E109" s="427" t="s">
        <v>89</v>
      </c>
      <c r="F109" s="427" t="s">
        <v>88</v>
      </c>
      <c r="G109" s="427" t="s">
        <v>201</v>
      </c>
      <c r="H109" s="427" t="s">
        <v>89</v>
      </c>
      <c r="I109" s="427" t="s">
        <v>88</v>
      </c>
      <c r="J109" s="427" t="s">
        <v>201</v>
      </c>
      <c r="K109" s="427" t="s">
        <v>89</v>
      </c>
      <c r="L109" s="427" t="s">
        <v>88</v>
      </c>
      <c r="M109" s="427" t="s">
        <v>201</v>
      </c>
      <c r="O109" s="1162"/>
      <c r="P109" s="1162"/>
    </row>
    <row r="110" spans="3:16" s="1161" customFormat="1" ht="16.899999999999999" customHeight="1" thickBot="1">
      <c r="C110" s="1730" t="s">
        <v>693</v>
      </c>
      <c r="D110" s="1731"/>
      <c r="E110" s="420">
        <v>10</v>
      </c>
      <c r="F110" s="420">
        <v>29</v>
      </c>
      <c r="G110" s="526">
        <f>(E110+F110)*100</f>
        <v>3900</v>
      </c>
      <c r="H110" s="1348">
        <v>18</v>
      </c>
      <c r="I110" s="1348">
        <v>48</v>
      </c>
      <c r="J110" s="1349">
        <v>13066.67</v>
      </c>
      <c r="K110" s="420">
        <v>10</v>
      </c>
      <c r="L110" s="420">
        <v>29</v>
      </c>
      <c r="M110" s="526">
        <v>2400</v>
      </c>
      <c r="O110" s="1162"/>
      <c r="P110" s="1162"/>
    </row>
    <row r="111" spans="3:16" s="1161" customFormat="1" ht="16.899999999999999" customHeight="1" thickBot="1">
      <c r="C111" s="1206"/>
      <c r="D111" s="1206" t="s">
        <v>694</v>
      </c>
      <c r="E111" s="420">
        <v>16</v>
      </c>
      <c r="F111" s="420">
        <v>8</v>
      </c>
      <c r="G111" s="526">
        <f>(E111+F111)*100</f>
        <v>2400</v>
      </c>
      <c r="H111" s="1348">
        <v>25</v>
      </c>
      <c r="I111" s="1348">
        <v>13</v>
      </c>
      <c r="J111" s="1349">
        <v>7116.67</v>
      </c>
      <c r="K111" s="420">
        <v>17</v>
      </c>
      <c r="L111" s="420">
        <v>8</v>
      </c>
      <c r="M111" s="526">
        <v>4033</v>
      </c>
      <c r="O111" s="1162"/>
      <c r="P111" s="1162"/>
    </row>
    <row r="112" spans="3:16" s="1161" customFormat="1" ht="16.899999999999999" customHeight="1" thickBot="1">
      <c r="C112" s="1730" t="s">
        <v>695</v>
      </c>
      <c r="D112" s="1731"/>
      <c r="E112" s="771">
        <f t="shared" ref="E112:J112" si="2">SUM(E110:E111)</f>
        <v>26</v>
      </c>
      <c r="F112" s="1214">
        <f t="shared" si="2"/>
        <v>37</v>
      </c>
      <c r="G112" s="529">
        <f t="shared" si="2"/>
        <v>6300</v>
      </c>
      <c r="H112" s="771">
        <f t="shared" si="2"/>
        <v>43</v>
      </c>
      <c r="I112" s="1214">
        <f t="shared" si="2"/>
        <v>61</v>
      </c>
      <c r="J112" s="529">
        <f t="shared" si="2"/>
        <v>20183.34</v>
      </c>
      <c r="K112" s="771">
        <f t="shared" ref="K112:M112" si="3">SUM(K110:K111)</f>
        <v>27</v>
      </c>
      <c r="L112" s="1214">
        <f t="shared" si="3"/>
        <v>37</v>
      </c>
      <c r="M112" s="529">
        <f t="shared" si="3"/>
        <v>6433</v>
      </c>
      <c r="O112" s="1162"/>
      <c r="P112" s="1162"/>
    </row>
    <row r="113" spans="15:16" ht="9.4" customHeight="1">
      <c r="O113" s="139"/>
      <c r="P113" s="139"/>
    </row>
    <row r="114" spans="15:16" ht="9.4" customHeight="1"/>
  </sheetData>
  <sortState ref="K30:L32">
    <sortCondition ref="K30"/>
  </sortState>
  <mergeCells count="73">
    <mergeCell ref="E98:F98"/>
    <mergeCell ref="I98:J98"/>
    <mergeCell ref="D49:D50"/>
    <mergeCell ref="G98:H98"/>
    <mergeCell ref="N50:N51"/>
    <mergeCell ref="N52:N53"/>
    <mergeCell ref="M50:M51"/>
    <mergeCell ref="M52:M53"/>
    <mergeCell ref="H49:H50"/>
    <mergeCell ref="I49:I50"/>
    <mergeCell ref="H51:H52"/>
    <mergeCell ref="I51:I52"/>
    <mergeCell ref="K50:K55"/>
    <mergeCell ref="E49:E50"/>
    <mergeCell ref="E51:E52"/>
    <mergeCell ref="F49:F50"/>
    <mergeCell ref="B5:C5"/>
    <mergeCell ref="B6:C6"/>
    <mergeCell ref="B10:C10"/>
    <mergeCell ref="D10:O10"/>
    <mergeCell ref="B12:C12"/>
    <mergeCell ref="D12:O12"/>
    <mergeCell ref="C51:C52"/>
    <mergeCell ref="B14:C14"/>
    <mergeCell ref="D14:O14"/>
    <mergeCell ref="B17:C17"/>
    <mergeCell ref="K33:L33"/>
    <mergeCell ref="D38:E38"/>
    <mergeCell ref="B16:L16"/>
    <mergeCell ref="F38:G38"/>
    <mergeCell ref="F39:G39"/>
    <mergeCell ref="F40:G40"/>
    <mergeCell ref="E44:E45"/>
    <mergeCell ref="E46:E47"/>
    <mergeCell ref="F44:F45"/>
    <mergeCell ref="F46:F47"/>
    <mergeCell ref="F51:F52"/>
    <mergeCell ref="H46:H47"/>
    <mergeCell ref="C110:D110"/>
    <mergeCell ref="C112:D112"/>
    <mergeCell ref="D39:E39"/>
    <mergeCell ref="D40:E40"/>
    <mergeCell ref="C101:D101"/>
    <mergeCell ref="C102:D102"/>
    <mergeCell ref="B65:C65"/>
    <mergeCell ref="B54:B56"/>
    <mergeCell ref="C100:D100"/>
    <mergeCell ref="B44:B47"/>
    <mergeCell ref="C44:C45"/>
    <mergeCell ref="D51:D52"/>
    <mergeCell ref="C46:C47"/>
    <mergeCell ref="D44:D45"/>
    <mergeCell ref="B49:B52"/>
    <mergeCell ref="C49:C50"/>
    <mergeCell ref="G51:G52"/>
    <mergeCell ref="O50:O51"/>
    <mergeCell ref="O52:O53"/>
    <mergeCell ref="D46:D47"/>
    <mergeCell ref="H42:I42"/>
    <mergeCell ref="H44:H45"/>
    <mergeCell ref="I44:I45"/>
    <mergeCell ref="I46:I47"/>
    <mergeCell ref="D42:E42"/>
    <mergeCell ref="F42:G42"/>
    <mergeCell ref="G44:G45"/>
    <mergeCell ref="G46:G47"/>
    <mergeCell ref="G49:G50"/>
    <mergeCell ref="Q50:Q51"/>
    <mergeCell ref="R50:R51"/>
    <mergeCell ref="Q52:Q53"/>
    <mergeCell ref="R52:R53"/>
    <mergeCell ref="P50:P51"/>
    <mergeCell ref="P52:P53"/>
  </mergeCells>
  <pageMargins left="0.11811023622047245" right="0.11811023622047245" top="0.35433070866141736" bottom="0.26833333333333331" header="0.31496062992125984" footer="0.31496062992125984"/>
  <pageSetup paperSize="9" scale="86" fitToHeight="0" orientation="landscape" r:id="rId1"/>
  <rowBreaks count="2" manualBreakCount="2">
    <brk id="35" max="12" man="1"/>
    <brk id="73"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O122"/>
  <sheetViews>
    <sheetView showGridLines="0" zoomScaleNormal="100" zoomScaleSheetLayoutView="100" workbookViewId="0">
      <selection activeCell="B4" sqref="B4:F22"/>
    </sheetView>
  </sheetViews>
  <sheetFormatPr baseColWidth="10" defaultColWidth="12" defaultRowHeight="11.25"/>
  <cols>
    <col min="1" max="1" width="12" style="56"/>
    <col min="2" max="2" width="25.1640625" style="56" bestFit="1" customWidth="1"/>
    <col min="3" max="3" width="2.6640625" style="56" customWidth="1"/>
    <col min="4" max="6" width="13" style="56" customWidth="1"/>
    <col min="7" max="7" width="6" style="56" customWidth="1"/>
    <col min="8" max="8" width="27.6640625" style="56" customWidth="1"/>
    <col min="9" max="9" width="4.5" style="56" customWidth="1"/>
    <col min="10" max="10" width="27.6640625" style="56" customWidth="1"/>
    <col min="11" max="11" width="16.6640625" style="56" customWidth="1"/>
    <col min="12" max="16384" width="12" style="56"/>
  </cols>
  <sheetData>
    <row r="1" spans="1:15" ht="21">
      <c r="A1" s="174" t="s">
        <v>1001</v>
      </c>
    </row>
    <row r="2" spans="1:15" ht="11.25" customHeight="1">
      <c r="B2" s="32"/>
    </row>
    <row r="3" spans="1:15" ht="11.25" customHeight="1">
      <c r="B3" s="32"/>
      <c r="K3" s="56" t="s">
        <v>89</v>
      </c>
      <c r="L3" s="56" t="s">
        <v>88</v>
      </c>
      <c r="M3" s="56" t="s">
        <v>47</v>
      </c>
    </row>
    <row r="4" spans="1:15" ht="12">
      <c r="D4" s="944" t="s">
        <v>89</v>
      </c>
      <c r="E4" s="944" t="s">
        <v>88</v>
      </c>
      <c r="F4" s="944" t="s">
        <v>47</v>
      </c>
      <c r="J4" s="41" t="s">
        <v>115</v>
      </c>
      <c r="K4" s="945">
        <f t="shared" ref="K4:L4" si="0">D22/$M$14</f>
        <v>1.1262596324836989E-2</v>
      </c>
      <c r="L4" s="945">
        <f t="shared" si="0"/>
        <v>1.066982809721399E-2</v>
      </c>
      <c r="M4" s="945">
        <f>F22/$M$14</f>
        <v>2.1932424422050976E-2</v>
      </c>
      <c r="N4" s="594"/>
    </row>
    <row r="5" spans="1:15" ht="12.75" customHeight="1">
      <c r="B5" s="102" t="s">
        <v>99</v>
      </c>
      <c r="C5" s="59"/>
      <c r="D5" s="1246">
        <v>159</v>
      </c>
      <c r="E5" s="1246">
        <v>234</v>
      </c>
      <c r="F5" s="1137">
        <f>SUM(D5:E5)</f>
        <v>393</v>
      </c>
      <c r="G5" s="846"/>
      <c r="J5" s="41" t="s">
        <v>64</v>
      </c>
      <c r="K5" s="945">
        <f t="shared" ref="K5:L5" si="1">D13/$M$14</f>
        <v>1.6597510373443983E-2</v>
      </c>
      <c r="L5" s="945">
        <f t="shared" si="1"/>
        <v>8.8915234143449907E-3</v>
      </c>
      <c r="M5" s="945">
        <f>F13/$M$14</f>
        <v>2.5489033787788974E-2</v>
      </c>
      <c r="N5" s="594"/>
    </row>
    <row r="6" spans="1:15" ht="12.75" customHeight="1">
      <c r="B6" s="103" t="s">
        <v>35</v>
      </c>
      <c r="C6" s="59"/>
      <c r="D6" s="1247">
        <v>21</v>
      </c>
      <c r="E6" s="1247">
        <v>69</v>
      </c>
      <c r="F6" s="1138">
        <f>SUM(D6:E6)</f>
        <v>90</v>
      </c>
      <c r="G6" s="873" t="s">
        <v>743</v>
      </c>
      <c r="H6" s="304"/>
      <c r="J6" s="30" t="s">
        <v>35</v>
      </c>
      <c r="K6" s="945">
        <f t="shared" ref="K6:L6" si="2">D6/$M$14</f>
        <v>1.2448132780082987E-2</v>
      </c>
      <c r="L6" s="945">
        <f t="shared" si="2"/>
        <v>4.090100770598696E-2</v>
      </c>
      <c r="M6" s="945">
        <f>F6/$M$14</f>
        <v>5.3349140486069944E-2</v>
      </c>
    </row>
    <row r="7" spans="1:15" ht="12.75">
      <c r="B7" s="103" t="s">
        <v>90</v>
      </c>
      <c r="C7" s="59"/>
      <c r="D7" s="1247">
        <v>69</v>
      </c>
      <c r="E7" s="1247">
        <v>95</v>
      </c>
      <c r="F7" s="1138">
        <f>SUM(D7:E7)</f>
        <v>164</v>
      </c>
      <c r="G7" s="873"/>
      <c r="J7" s="30" t="s">
        <v>119</v>
      </c>
      <c r="K7" s="945">
        <f t="shared" ref="K7:L7" si="3">(D12+D15)/$M$14</f>
        <v>3.8529934795494963E-2</v>
      </c>
      <c r="L7" s="945">
        <f t="shared" si="3"/>
        <v>5.9276822762299938E-3</v>
      </c>
      <c r="M7" s="945">
        <f>(F12+F15)/$M$14</f>
        <v>4.4457617071724957E-2</v>
      </c>
    </row>
    <row r="8" spans="1:15" ht="12.75" customHeight="1">
      <c r="B8" s="566" t="s">
        <v>485</v>
      </c>
      <c r="C8" s="59"/>
      <c r="D8" s="1415">
        <v>139</v>
      </c>
      <c r="E8" s="1415">
        <v>192</v>
      </c>
      <c r="F8" s="1139">
        <f>SUM(D8:E8)</f>
        <v>331</v>
      </c>
      <c r="G8" s="873" t="s">
        <v>724</v>
      </c>
      <c r="J8" s="30" t="s">
        <v>90</v>
      </c>
      <c r="K8" s="945">
        <f t="shared" ref="K8:L8" si="4">D7/$M$14</f>
        <v>4.090100770598696E-2</v>
      </c>
      <c r="L8" s="945">
        <f t="shared" si="4"/>
        <v>5.6312981624184945E-2</v>
      </c>
      <c r="M8" s="945">
        <f>F7/$M$14</f>
        <v>9.7213989330171904E-2</v>
      </c>
    </row>
    <row r="9" spans="1:15" ht="12.75">
      <c r="B9" s="68"/>
      <c r="C9" s="59"/>
      <c r="D9" s="282"/>
      <c r="E9" s="282"/>
      <c r="F9" s="282"/>
      <c r="H9" s="159"/>
      <c r="J9" s="30" t="s">
        <v>356</v>
      </c>
      <c r="K9" s="945">
        <f>D16/$M$14</f>
        <v>0.10906935388263189</v>
      </c>
      <c r="L9" s="945">
        <f>E16/$M$14</f>
        <v>4.7421458209839951E-2</v>
      </c>
      <c r="M9" s="945">
        <f>F16/$M$14</f>
        <v>0.15649081209247184</v>
      </c>
    </row>
    <row r="10" spans="1:15" ht="12.75">
      <c r="B10" s="133" t="s">
        <v>109</v>
      </c>
      <c r="C10" s="57"/>
      <c r="D10" s="1140">
        <f t="shared" ref="D10:E10" si="5">SUM(D5:D8)</f>
        <v>388</v>
      </c>
      <c r="E10" s="1140">
        <f t="shared" si="5"/>
        <v>590</v>
      </c>
      <c r="F10" s="1140">
        <f>SUM(F5:F8)</f>
        <v>978</v>
      </c>
      <c r="H10" s="364"/>
      <c r="J10" s="30" t="s">
        <v>14</v>
      </c>
      <c r="K10" s="945">
        <f>D14/$M$14</f>
        <v>0.11381149970361588</v>
      </c>
      <c r="L10" s="945">
        <f>E14/$M$14</f>
        <v>5.8091286307053944E-2</v>
      </c>
      <c r="M10" s="945">
        <f>F14/$M$14</f>
        <v>0.17190278601066983</v>
      </c>
    </row>
    <row r="11" spans="1:15" ht="12.75">
      <c r="B11" s="57"/>
      <c r="C11" s="57"/>
      <c r="D11" s="282"/>
      <c r="E11" s="282"/>
      <c r="F11" s="282"/>
      <c r="J11" s="30" t="s">
        <v>486</v>
      </c>
      <c r="K11" s="945">
        <f t="shared" ref="K11:L11" si="6">D8/$M$14</f>
        <v>8.2394783639596916E-2</v>
      </c>
      <c r="L11" s="945">
        <f t="shared" si="6"/>
        <v>0.11381149970361588</v>
      </c>
      <c r="M11" s="945">
        <f>F8/$M$14</f>
        <v>0.1962062833432128</v>
      </c>
      <c r="N11" s="593"/>
      <c r="O11" s="594"/>
    </row>
    <row r="12" spans="1:15" ht="12.75">
      <c r="B12" s="102" t="s">
        <v>119</v>
      </c>
      <c r="C12" s="59"/>
      <c r="D12" s="1246">
        <v>63</v>
      </c>
      <c r="E12" s="1246">
        <v>10</v>
      </c>
      <c r="F12" s="1137">
        <f>SUM(D12:E12)</f>
        <v>73</v>
      </c>
      <c r="J12" s="30" t="s">
        <v>99</v>
      </c>
      <c r="K12" s="945">
        <f t="shared" ref="K12:L12" si="7">D5/$M$14</f>
        <v>9.4250148192056904E-2</v>
      </c>
      <c r="L12" s="945">
        <f t="shared" si="7"/>
        <v>0.13870776526378187</v>
      </c>
      <c r="M12" s="945">
        <f>F5/$M$14</f>
        <v>0.23295791345583877</v>
      </c>
      <c r="N12" s="593"/>
      <c r="O12" s="594"/>
    </row>
    <row r="13" spans="1:15" ht="12.75" customHeight="1">
      <c r="B13" s="103" t="s">
        <v>64</v>
      </c>
      <c r="C13" s="59"/>
      <c r="D13" s="1247">
        <v>28</v>
      </c>
      <c r="E13" s="1247">
        <v>15</v>
      </c>
      <c r="F13" s="1138">
        <f t="shared" ref="F13:F16" si="8">SUM(D13:E13)</f>
        <v>43</v>
      </c>
      <c r="L13" s="166"/>
      <c r="M13" s="722">
        <f>SUM(M4:M12)</f>
        <v>1</v>
      </c>
      <c r="N13" s="593"/>
      <c r="O13" s="893"/>
    </row>
    <row r="14" spans="1:15" ht="12.75" customHeight="1">
      <c r="B14" s="103" t="s">
        <v>14</v>
      </c>
      <c r="C14" s="59"/>
      <c r="D14" s="1247">
        <v>192</v>
      </c>
      <c r="E14" s="1247">
        <v>98</v>
      </c>
      <c r="F14" s="1138">
        <f t="shared" si="8"/>
        <v>290</v>
      </c>
      <c r="M14" s="56">
        <f>F20+F22</f>
        <v>1687</v>
      </c>
      <c r="N14" s="593"/>
      <c r="O14" s="594"/>
    </row>
    <row r="15" spans="1:15" ht="12.75" customHeight="1">
      <c r="B15" s="103" t="s">
        <v>100</v>
      </c>
      <c r="C15" s="59"/>
      <c r="D15" s="1247">
        <v>2</v>
      </c>
      <c r="E15" s="1247"/>
      <c r="F15" s="1138">
        <f t="shared" si="8"/>
        <v>2</v>
      </c>
      <c r="I15" s="67"/>
    </row>
    <row r="16" spans="1:15" ht="12.75">
      <c r="B16" s="566" t="s">
        <v>334</v>
      </c>
      <c r="C16" s="59"/>
      <c r="D16" s="1415">
        <v>184</v>
      </c>
      <c r="E16" s="1415">
        <v>80</v>
      </c>
      <c r="F16" s="1139">
        <f t="shared" si="8"/>
        <v>264</v>
      </c>
      <c r="H16" s="282"/>
    </row>
    <row r="17" spans="2:15">
      <c r="B17" s="57"/>
      <c r="C17" s="57"/>
      <c r="D17" s="282"/>
      <c r="E17" s="282"/>
      <c r="F17" s="282"/>
    </row>
    <row r="18" spans="2:15" ht="12.75">
      <c r="B18" s="133" t="s">
        <v>335</v>
      </c>
      <c r="C18" s="57"/>
      <c r="D18" s="1140">
        <f t="shared" ref="D18:E18" si="9">SUM(D12:D16)</f>
        <v>469</v>
      </c>
      <c r="E18" s="1140">
        <f t="shared" si="9"/>
        <v>203</v>
      </c>
      <c r="F18" s="1140">
        <f>SUM(F12:F16)</f>
        <v>672</v>
      </c>
    </row>
    <row r="19" spans="2:15">
      <c r="B19" s="57"/>
      <c r="C19" s="57"/>
      <c r="D19" s="57"/>
      <c r="E19" s="57"/>
      <c r="F19" s="57"/>
      <c r="K19" s="166"/>
    </row>
    <row r="20" spans="2:15" ht="12.75">
      <c r="B20" s="134"/>
      <c r="C20" s="57"/>
      <c r="D20" s="1140">
        <f t="shared" ref="D20:E20" si="10">SUM(D10,D18)</f>
        <v>857</v>
      </c>
      <c r="E20" s="1140">
        <f t="shared" si="10"/>
        <v>793</v>
      </c>
      <c r="F20" s="1140">
        <f>SUM(F10,F18)</f>
        <v>1650</v>
      </c>
    </row>
    <row r="21" spans="2:15" ht="12.75">
      <c r="B21" s="134"/>
      <c r="C21" s="57"/>
      <c r="D21" s="28"/>
      <c r="E21" s="28"/>
      <c r="F21" s="28"/>
    </row>
    <row r="22" spans="2:15" ht="12.75">
      <c r="B22" s="567" t="s">
        <v>480</v>
      </c>
      <c r="C22" s="59"/>
      <c r="D22" s="1416">
        <v>19</v>
      </c>
      <c r="E22" s="1416">
        <v>18</v>
      </c>
      <c r="F22" s="1141">
        <f>SUM(D22:E22)</f>
        <v>37</v>
      </c>
      <c r="G22" s="552"/>
    </row>
    <row r="23" spans="2:15" ht="12.75">
      <c r="B23" s="134"/>
      <c r="C23" s="57"/>
      <c r="D23" s="57"/>
      <c r="E23" s="57"/>
      <c r="F23" s="28"/>
    </row>
    <row r="24" spans="2:15">
      <c r="B24" s="40" t="s">
        <v>725</v>
      </c>
      <c r="C24" s="57"/>
      <c r="D24" s="57"/>
      <c r="E24" s="57"/>
      <c r="F24" s="57"/>
    </row>
    <row r="25" spans="2:15">
      <c r="B25" s="40" t="s">
        <v>726</v>
      </c>
      <c r="C25" s="57"/>
      <c r="D25" s="57"/>
      <c r="E25" s="57"/>
      <c r="F25" s="57"/>
    </row>
    <row r="26" spans="2:15">
      <c r="B26" s="1524" t="s">
        <v>727</v>
      </c>
      <c r="C26" s="1524"/>
      <c r="D26" s="1524"/>
      <c r="E26" s="1524"/>
      <c r="F26" s="1524"/>
      <c r="K26" s="166"/>
    </row>
    <row r="27" spans="2:15">
      <c r="B27" s="1525"/>
      <c r="C27" s="1525"/>
      <c r="D27" s="1525"/>
      <c r="E27" s="1525"/>
      <c r="F27" s="1525"/>
      <c r="G27" s="1525"/>
      <c r="H27" s="1525"/>
      <c r="K27" s="166"/>
      <c r="O27" s="721"/>
    </row>
    <row r="28" spans="2:15">
      <c r="J28" s="56">
        <f>F5+F6+F7</f>
        <v>647</v>
      </c>
      <c r="K28" s="56">
        <f>F12+F13+F14+F15</f>
        <v>408</v>
      </c>
      <c r="L28" s="56">
        <f>J28+K28</f>
        <v>1055</v>
      </c>
    </row>
    <row r="29" spans="2:15">
      <c r="J29" s="166">
        <f>J28/L28</f>
        <v>0.61327014218009479</v>
      </c>
      <c r="K29" s="166">
        <f>K28/L28</f>
        <v>0.38672985781990521</v>
      </c>
    </row>
    <row r="31" spans="2:15">
      <c r="B31" s="747"/>
    </row>
    <row r="33" spans="1:13">
      <c r="K33" s="166"/>
    </row>
    <row r="34" spans="1:13">
      <c r="J34" s="56">
        <v>68905</v>
      </c>
      <c r="K34" s="1025">
        <v>61345</v>
      </c>
      <c r="L34" s="56">
        <f>SUM(J34:K34)</f>
        <v>130250</v>
      </c>
    </row>
    <row r="35" spans="1:13">
      <c r="J35" s="909">
        <f>J34/L34</f>
        <v>0.529021113243762</v>
      </c>
      <c r="K35" s="909">
        <f>K34/L34</f>
        <v>0.470978886756238</v>
      </c>
    </row>
    <row r="45" spans="1:13" ht="21">
      <c r="A45" s="174" t="s">
        <v>1002</v>
      </c>
    </row>
    <row r="46" spans="1:13" ht="26.25">
      <c r="B46" s="32"/>
    </row>
    <row r="47" spans="1:13" ht="26.25">
      <c r="B47" s="32"/>
      <c r="K47" s="56" t="s">
        <v>89</v>
      </c>
      <c r="L47" s="56" t="s">
        <v>88</v>
      </c>
      <c r="M47" s="56" t="s">
        <v>47</v>
      </c>
    </row>
    <row r="48" spans="1:13">
      <c r="D48" s="944" t="s">
        <v>89</v>
      </c>
      <c r="E48" s="944" t="s">
        <v>88</v>
      </c>
      <c r="F48" s="944" t="s">
        <v>47</v>
      </c>
      <c r="J48" s="41" t="s">
        <v>115</v>
      </c>
      <c r="K48" s="945">
        <f>D66/$M$58</f>
        <v>9.0144230769230761E-3</v>
      </c>
      <c r="L48" s="945">
        <f>E66/$M$58</f>
        <v>1.0817307692307692E-2</v>
      </c>
      <c r="M48" s="945">
        <f>SUM(K48:L48)</f>
        <v>1.9831730769230768E-2</v>
      </c>
    </row>
    <row r="49" spans="2:13" ht="12.75">
      <c r="B49" s="102" t="s">
        <v>99</v>
      </c>
      <c r="C49" s="59"/>
      <c r="D49" s="1142">
        <v>156</v>
      </c>
      <c r="E49" s="1142">
        <v>240</v>
      </c>
      <c r="F49" s="1142">
        <f>SUM(D49:E49)</f>
        <v>396</v>
      </c>
      <c r="G49" s="846"/>
      <c r="J49" s="41" t="s">
        <v>64</v>
      </c>
      <c r="K49" s="945">
        <f>D57/$M$58</f>
        <v>1.5625E-2</v>
      </c>
      <c r="L49" s="945">
        <f>E57/$M$58</f>
        <v>9.0144230769230761E-3</v>
      </c>
      <c r="M49" s="945">
        <f t="shared" ref="M49:M56" si="11">SUM(K49:L49)</f>
        <v>2.4639423076923076E-2</v>
      </c>
    </row>
    <row r="50" spans="2:13" ht="12.75">
      <c r="B50" s="103" t="s">
        <v>35</v>
      </c>
      <c r="C50" s="59"/>
      <c r="D50" s="1143">
        <v>23</v>
      </c>
      <c r="E50" s="1143">
        <v>67</v>
      </c>
      <c r="F50" s="1143">
        <f t="shared" ref="F50:F52" si="12">SUM(D50:E50)</f>
        <v>90</v>
      </c>
      <c r="G50" s="873" t="s">
        <v>743</v>
      </c>
      <c r="H50" s="304"/>
      <c r="J50" s="30" t="s">
        <v>35</v>
      </c>
      <c r="K50" s="945">
        <f>D50/$M$58</f>
        <v>1.3822115384615384E-2</v>
      </c>
      <c r="L50" s="945">
        <f>E50/$M$58</f>
        <v>4.026442307692308E-2</v>
      </c>
      <c r="M50" s="945">
        <f t="shared" si="11"/>
        <v>5.4086538461538464E-2</v>
      </c>
    </row>
    <row r="51" spans="2:13" ht="12.75">
      <c r="B51" s="103" t="s">
        <v>90</v>
      </c>
      <c r="C51" s="59"/>
      <c r="D51" s="1143">
        <v>64</v>
      </c>
      <c r="E51" s="1143">
        <v>98</v>
      </c>
      <c r="F51" s="1143">
        <f t="shared" si="12"/>
        <v>162</v>
      </c>
      <c r="G51" s="873"/>
      <c r="J51" s="30" t="s">
        <v>119</v>
      </c>
      <c r="K51" s="945">
        <f>(D56+D59)/$M$58</f>
        <v>4.5072115384615384E-2</v>
      </c>
      <c r="L51" s="945">
        <f>(E56+E59)/$M$58</f>
        <v>7.2115384615384619E-3</v>
      </c>
      <c r="M51" s="945">
        <f t="shared" si="11"/>
        <v>5.2283653846153848E-2</v>
      </c>
    </row>
    <row r="52" spans="2:13" ht="12.75">
      <c r="B52" s="566" t="s">
        <v>485</v>
      </c>
      <c r="C52" s="59"/>
      <c r="D52" s="1144">
        <v>128</v>
      </c>
      <c r="E52" s="1144">
        <v>201</v>
      </c>
      <c r="F52" s="1144">
        <f t="shared" si="12"/>
        <v>329</v>
      </c>
      <c r="G52" s="873" t="s">
        <v>724</v>
      </c>
      <c r="J52" s="30" t="s">
        <v>90</v>
      </c>
      <c r="K52" s="945">
        <f>D51/$M$58</f>
        <v>3.8461538461538464E-2</v>
      </c>
      <c r="L52" s="945">
        <f>E51/$M$58</f>
        <v>5.8894230769230768E-2</v>
      </c>
      <c r="M52" s="945">
        <f t="shared" si="11"/>
        <v>9.7355769230769232E-2</v>
      </c>
    </row>
    <row r="53" spans="2:13" ht="12.75">
      <c r="B53" s="68"/>
      <c r="C53" s="59"/>
      <c r="D53" s="231"/>
      <c r="E53" s="231"/>
      <c r="F53" s="231"/>
      <c r="H53" s="159"/>
      <c r="J53" s="30" t="s">
        <v>356</v>
      </c>
      <c r="K53" s="945">
        <f>D60/$M$58</f>
        <v>9.7956730769230768E-2</v>
      </c>
      <c r="L53" s="945">
        <f>E60/$M$58</f>
        <v>4.2668269230769232E-2</v>
      </c>
      <c r="M53" s="945">
        <f t="shared" si="11"/>
        <v>0.140625</v>
      </c>
    </row>
    <row r="54" spans="2:13" ht="12.75">
      <c r="B54" s="133" t="s">
        <v>109</v>
      </c>
      <c r="C54" s="57"/>
      <c r="D54" s="1145">
        <f>SUM(D49:D52)</f>
        <v>371</v>
      </c>
      <c r="E54" s="1145">
        <f>SUM(E49:E52)</f>
        <v>606</v>
      </c>
      <c r="F54" s="1145">
        <f>SUM(D54:E54)</f>
        <v>977</v>
      </c>
      <c r="H54" s="364"/>
      <c r="J54" s="30" t="s">
        <v>14</v>
      </c>
      <c r="K54" s="945">
        <f>D58/$M$58</f>
        <v>0.11478365384615384</v>
      </c>
      <c r="L54" s="945">
        <f>E58/$M$58</f>
        <v>6.0697115384615384E-2</v>
      </c>
      <c r="M54" s="945">
        <f t="shared" si="11"/>
        <v>0.17548076923076922</v>
      </c>
    </row>
    <row r="55" spans="2:13" ht="12.75">
      <c r="B55" s="57"/>
      <c r="C55" s="57"/>
      <c r="D55" s="231"/>
      <c r="E55" s="231"/>
      <c r="F55" s="231"/>
      <c r="J55" s="30" t="s">
        <v>486</v>
      </c>
      <c r="K55" s="945">
        <f>D52/$M$58</f>
        <v>7.6923076923076927E-2</v>
      </c>
      <c r="L55" s="945">
        <f>E52/$M$58</f>
        <v>0.12079326923076923</v>
      </c>
      <c r="M55" s="945">
        <f t="shared" si="11"/>
        <v>0.19771634615384615</v>
      </c>
    </row>
    <row r="56" spans="2:13" ht="12.75">
      <c r="B56" s="102" t="s">
        <v>119</v>
      </c>
      <c r="C56" s="59"/>
      <c r="D56" s="1142">
        <v>72</v>
      </c>
      <c r="E56" s="1142">
        <v>12</v>
      </c>
      <c r="F56" s="1142">
        <f>SUM(D56:E56)</f>
        <v>84</v>
      </c>
      <c r="J56" s="30" t="s">
        <v>99</v>
      </c>
      <c r="K56" s="945">
        <f>D49/$M$58</f>
        <v>9.375E-2</v>
      </c>
      <c r="L56" s="945">
        <f>E49/$M$58</f>
        <v>0.14423076923076922</v>
      </c>
      <c r="M56" s="945">
        <f t="shared" si="11"/>
        <v>0.23798076923076922</v>
      </c>
    </row>
    <row r="57" spans="2:13" ht="12.75">
      <c r="B57" s="103" t="s">
        <v>64</v>
      </c>
      <c r="C57" s="59"/>
      <c r="D57" s="1143">
        <v>26</v>
      </c>
      <c r="E57" s="1143">
        <v>15</v>
      </c>
      <c r="F57" s="1143">
        <f t="shared" ref="F57:F59" si="13">SUM(D57:E57)</f>
        <v>41</v>
      </c>
      <c r="L57" s="166"/>
      <c r="M57" s="722">
        <f>SUM(M48:M56)</f>
        <v>1</v>
      </c>
    </row>
    <row r="58" spans="2:13" ht="12.75">
      <c r="B58" s="103" t="s">
        <v>14</v>
      </c>
      <c r="C58" s="59"/>
      <c r="D58" s="1143">
        <v>191</v>
      </c>
      <c r="E58" s="1143">
        <v>101</v>
      </c>
      <c r="F58" s="1143">
        <f t="shared" si="13"/>
        <v>292</v>
      </c>
      <c r="M58" s="56">
        <f>F64+F66</f>
        <v>1664</v>
      </c>
    </row>
    <row r="59" spans="2:13" ht="12.75">
      <c r="B59" s="103" t="s">
        <v>100</v>
      </c>
      <c r="C59" s="59"/>
      <c r="D59" s="1143">
        <v>3</v>
      </c>
      <c r="E59" s="1143"/>
      <c r="F59" s="1143">
        <f t="shared" si="13"/>
        <v>3</v>
      </c>
      <c r="I59" s="67"/>
    </row>
    <row r="60" spans="2:13" ht="12.75">
      <c r="B60" s="566" t="s">
        <v>334</v>
      </c>
      <c r="C60" s="59"/>
      <c r="D60" s="1144">
        <v>163</v>
      </c>
      <c r="E60" s="1144">
        <v>71</v>
      </c>
      <c r="F60" s="1144">
        <f>SUM(D60:E60)</f>
        <v>234</v>
      </c>
      <c r="H60" s="282"/>
    </row>
    <row r="61" spans="2:13">
      <c r="B61" s="57"/>
      <c r="C61" s="57"/>
      <c r="D61" s="231"/>
      <c r="E61" s="231"/>
      <c r="F61" s="231"/>
    </row>
    <row r="62" spans="2:13" ht="12.75">
      <c r="B62" s="133" t="s">
        <v>335</v>
      </c>
      <c r="C62" s="57"/>
      <c r="D62" s="1145">
        <f>SUM(D56:D60)</f>
        <v>455</v>
      </c>
      <c r="E62" s="1145">
        <f>SUM(E56:E60)</f>
        <v>199</v>
      </c>
      <c r="F62" s="1145">
        <f>SUM(D62:E62)</f>
        <v>654</v>
      </c>
    </row>
    <row r="63" spans="2:13">
      <c r="B63" s="57"/>
      <c r="C63" s="57"/>
      <c r="D63" s="231"/>
      <c r="E63" s="231"/>
      <c r="F63" s="231"/>
      <c r="K63" s="166"/>
    </row>
    <row r="64" spans="2:13" ht="12.75">
      <c r="B64" s="134"/>
      <c r="C64" s="57"/>
      <c r="D64" s="1145">
        <f>D62+D54</f>
        <v>826</v>
      </c>
      <c r="E64" s="1145">
        <f t="shared" ref="E64:F64" si="14">E62+E54</f>
        <v>805</v>
      </c>
      <c r="F64" s="1145">
        <f t="shared" si="14"/>
        <v>1631</v>
      </c>
    </row>
    <row r="65" spans="2:12" ht="12.75">
      <c r="B65" s="134"/>
      <c r="C65" s="57"/>
      <c r="D65" s="1146"/>
      <c r="E65" s="1146"/>
      <c r="F65" s="1146"/>
    </row>
    <row r="66" spans="2:12" ht="12.75">
      <c r="B66" s="567" t="s">
        <v>480</v>
      </c>
      <c r="C66" s="59"/>
      <c r="D66" s="1147">
        <v>15</v>
      </c>
      <c r="E66" s="1147">
        <v>18</v>
      </c>
      <c r="F66" s="1147">
        <f>SUM(D66:E66)</f>
        <v>33</v>
      </c>
      <c r="G66" s="552"/>
    </row>
    <row r="67" spans="2:12" ht="12.75">
      <c r="B67" s="134"/>
      <c r="C67" s="57"/>
      <c r="D67" s="57"/>
      <c r="E67" s="57"/>
      <c r="F67" s="28"/>
    </row>
    <row r="68" spans="2:12">
      <c r="B68" s="1229" t="s">
        <v>725</v>
      </c>
      <c r="C68" s="57"/>
      <c r="D68" s="57"/>
      <c r="E68" s="57"/>
      <c r="F68" s="57"/>
    </row>
    <row r="69" spans="2:12">
      <c r="B69" s="1229" t="s">
        <v>726</v>
      </c>
      <c r="C69" s="57"/>
      <c r="D69" s="57"/>
      <c r="E69" s="57"/>
      <c r="F69" s="57"/>
    </row>
    <row r="70" spans="2:12">
      <c r="B70" s="1524" t="s">
        <v>727</v>
      </c>
      <c r="C70" s="1524"/>
      <c r="D70" s="1524"/>
      <c r="E70" s="1524"/>
      <c r="F70" s="1524"/>
      <c r="K70" s="166"/>
    </row>
    <row r="71" spans="2:12">
      <c r="B71" s="1525"/>
      <c r="C71" s="1525"/>
      <c r="D71" s="1525"/>
      <c r="E71" s="1525"/>
      <c r="F71" s="1525"/>
      <c r="G71" s="1525"/>
      <c r="H71" s="1525"/>
      <c r="K71" s="166"/>
    </row>
    <row r="72" spans="2:12">
      <c r="J72" s="56">
        <f>F49+F50+F51</f>
        <v>648</v>
      </c>
      <c r="K72" s="56">
        <f>F56+F57+F58+F59</f>
        <v>420</v>
      </c>
      <c r="L72" s="56">
        <f>J72+K72</f>
        <v>1068</v>
      </c>
    </row>
    <row r="73" spans="2:12">
      <c r="J73" s="166">
        <f>J72/L72</f>
        <v>0.6067415730337079</v>
      </c>
      <c r="K73" s="166">
        <f>K72/L72</f>
        <v>0.39325842696629215</v>
      </c>
    </row>
    <row r="75" spans="2:12">
      <c r="B75" s="747"/>
    </row>
    <row r="77" spans="2:12">
      <c r="K77" s="166"/>
    </row>
    <row r="78" spans="2:12">
      <c r="J78" s="56">
        <v>70025</v>
      </c>
      <c r="K78" s="1025">
        <v>60669</v>
      </c>
      <c r="L78" s="56">
        <f>SUM(J78:K78)</f>
        <v>130694</v>
      </c>
    </row>
    <row r="79" spans="2:12">
      <c r="J79" s="909">
        <f>J78/L78</f>
        <v>0.53579353298544696</v>
      </c>
      <c r="K79" s="909">
        <f>K78/L78</f>
        <v>0.46420646701455309</v>
      </c>
    </row>
    <row r="87" spans="1:13" ht="31.15" customHeight="1"/>
    <row r="88" spans="1:13" ht="21">
      <c r="A88" s="174" t="s">
        <v>1003</v>
      </c>
    </row>
    <row r="89" spans="1:13" ht="26.25">
      <c r="B89" s="32"/>
    </row>
    <row r="90" spans="1:13" ht="26.25">
      <c r="B90" s="32"/>
      <c r="K90" s="56" t="s">
        <v>89</v>
      </c>
      <c r="L90" s="56" t="s">
        <v>88</v>
      </c>
      <c r="M90" s="56" t="s">
        <v>47</v>
      </c>
    </row>
    <row r="91" spans="1:13">
      <c r="D91" s="944" t="s">
        <v>89</v>
      </c>
      <c r="E91" s="944" t="s">
        <v>88</v>
      </c>
      <c r="F91" s="944" t="s">
        <v>47</v>
      </c>
      <c r="J91" s="41" t="s">
        <v>115</v>
      </c>
      <c r="K91" s="945">
        <v>9.0144230769230761E-3</v>
      </c>
      <c r="L91" s="945">
        <v>1.0817307692307692E-2</v>
      </c>
      <c r="M91" s="945">
        <f>SUM(K91:L91)</f>
        <v>1.9831730769230768E-2</v>
      </c>
    </row>
    <row r="92" spans="1:13" ht="12.75">
      <c r="B92" s="102" t="s">
        <v>99</v>
      </c>
      <c r="C92" s="59"/>
      <c r="D92" s="1142">
        <v>158</v>
      </c>
      <c r="E92" s="1142">
        <v>240</v>
      </c>
      <c r="F92" s="1142">
        <f>SUM(D92:E92)</f>
        <v>398</v>
      </c>
      <c r="G92" s="846"/>
      <c r="J92" s="41" t="s">
        <v>64</v>
      </c>
      <c r="K92" s="945">
        <v>1.5625E-2</v>
      </c>
      <c r="L92" s="945">
        <v>9.0144230769230761E-3</v>
      </c>
      <c r="M92" s="945">
        <f t="shared" ref="M92:M99" si="15">SUM(K92:L92)</f>
        <v>2.4639423076923076E-2</v>
      </c>
    </row>
    <row r="93" spans="1:13" ht="13.15" customHeight="1">
      <c r="B93" s="103" t="s">
        <v>35</v>
      </c>
      <c r="C93" s="59"/>
      <c r="D93" s="1143">
        <v>24</v>
      </c>
      <c r="E93" s="1143">
        <v>68</v>
      </c>
      <c r="F93" s="1143">
        <f>SUM(D93:E93)</f>
        <v>92</v>
      </c>
      <c r="G93" s="873" t="s">
        <v>743</v>
      </c>
      <c r="H93" s="304"/>
      <c r="J93" s="30" t="s">
        <v>35</v>
      </c>
      <c r="K93" s="945">
        <v>1.3822115384615384E-2</v>
      </c>
      <c r="L93" s="945">
        <v>4.026442307692308E-2</v>
      </c>
      <c r="M93" s="945">
        <f t="shared" si="15"/>
        <v>5.4086538461538464E-2</v>
      </c>
    </row>
    <row r="94" spans="1:13" ht="12.75">
      <c r="B94" s="103" t="s">
        <v>90</v>
      </c>
      <c r="C94" s="59"/>
      <c r="D94" s="1143">
        <v>70</v>
      </c>
      <c r="E94" s="1143">
        <v>103</v>
      </c>
      <c r="F94" s="1143">
        <f>SUM(D94:E94)</f>
        <v>173</v>
      </c>
      <c r="G94" s="873"/>
      <c r="J94" s="30" t="s">
        <v>119</v>
      </c>
      <c r="K94" s="945">
        <v>4.5072115384615384E-2</v>
      </c>
      <c r="L94" s="945">
        <v>7.2115384615384619E-3</v>
      </c>
      <c r="M94" s="945">
        <f t="shared" si="15"/>
        <v>5.2283653846153848E-2</v>
      </c>
    </row>
    <row r="95" spans="1:13" ht="12.75">
      <c r="B95" s="566" t="s">
        <v>485</v>
      </c>
      <c r="C95" s="59"/>
      <c r="D95" s="1144">
        <v>124</v>
      </c>
      <c r="E95" s="1144">
        <v>196</v>
      </c>
      <c r="F95" s="1144">
        <f>SUM(D95:E95)</f>
        <v>320</v>
      </c>
      <c r="G95" s="873" t="s">
        <v>724</v>
      </c>
      <c r="J95" s="30" t="s">
        <v>90</v>
      </c>
      <c r="K95" s="945">
        <v>3.8461538461538464E-2</v>
      </c>
      <c r="L95" s="945">
        <v>5.8894230769230768E-2</v>
      </c>
      <c r="M95" s="945">
        <f t="shared" si="15"/>
        <v>9.7355769230769232E-2</v>
      </c>
    </row>
    <row r="96" spans="1:13" ht="12.75">
      <c r="B96" s="68"/>
      <c r="C96" s="59"/>
      <c r="D96" s="231"/>
      <c r="E96" s="231"/>
      <c r="F96" s="231"/>
      <c r="H96" s="159"/>
      <c r="J96" s="30" t="s">
        <v>356</v>
      </c>
      <c r="K96" s="945">
        <v>9.7956730769230768E-2</v>
      </c>
      <c r="L96" s="945">
        <v>4.2668269230769232E-2</v>
      </c>
      <c r="M96" s="945">
        <f t="shared" si="15"/>
        <v>0.140625</v>
      </c>
    </row>
    <row r="97" spans="2:13" ht="12.75">
      <c r="B97" s="133" t="s">
        <v>109</v>
      </c>
      <c r="C97" s="57"/>
      <c r="D97" s="1145">
        <f t="shared" ref="D97:E97" si="16">SUM(D92:D95)</f>
        <v>376</v>
      </c>
      <c r="E97" s="1145">
        <f t="shared" si="16"/>
        <v>607</v>
      </c>
      <c r="F97" s="1145">
        <f>SUM(F92:F95)</f>
        <v>983</v>
      </c>
      <c r="H97" s="364"/>
      <c r="J97" s="30" t="s">
        <v>14</v>
      </c>
      <c r="K97" s="945">
        <v>0.11478365384615384</v>
      </c>
      <c r="L97" s="945">
        <v>6.0697115384615384E-2</v>
      </c>
      <c r="M97" s="945">
        <f t="shared" si="15"/>
        <v>0.17548076923076922</v>
      </c>
    </row>
    <row r="98" spans="2:13" ht="12.75">
      <c r="B98" s="57"/>
      <c r="C98" s="57"/>
      <c r="D98" s="231"/>
      <c r="E98" s="231"/>
      <c r="F98" s="231"/>
      <c r="J98" s="30" t="s">
        <v>486</v>
      </c>
      <c r="K98" s="945">
        <v>7.6923076923076927E-2</v>
      </c>
      <c r="L98" s="945">
        <v>0.12079326923076923</v>
      </c>
      <c r="M98" s="945">
        <f t="shared" si="15"/>
        <v>0.19771634615384615</v>
      </c>
    </row>
    <row r="99" spans="2:13" ht="12.75">
      <c r="B99" s="102" t="s">
        <v>119</v>
      </c>
      <c r="C99" s="59"/>
      <c r="D99" s="1142">
        <v>72</v>
      </c>
      <c r="E99" s="1142">
        <v>14</v>
      </c>
      <c r="F99" s="1142">
        <f>SUM(D99:E99)</f>
        <v>86</v>
      </c>
      <c r="J99" s="30" t="s">
        <v>99</v>
      </c>
      <c r="K99" s="945">
        <v>9.375E-2</v>
      </c>
      <c r="L99" s="945">
        <v>0.14423076923076922</v>
      </c>
      <c r="M99" s="945">
        <f t="shared" si="15"/>
        <v>0.23798076923076922</v>
      </c>
    </row>
    <row r="100" spans="2:13" ht="12.75">
      <c r="B100" s="103" t="s">
        <v>64</v>
      </c>
      <c r="C100" s="59"/>
      <c r="D100" s="1143">
        <v>28</v>
      </c>
      <c r="E100" s="1143">
        <v>14</v>
      </c>
      <c r="F100" s="1143">
        <f t="shared" ref="F100:F103" si="17">SUM(D100:E100)</f>
        <v>42</v>
      </c>
      <c r="L100" s="166"/>
      <c r="M100" s="722">
        <f>SUM(M91:M99)</f>
        <v>1</v>
      </c>
    </row>
    <row r="101" spans="2:13" ht="12.75">
      <c r="B101" s="103" t="s">
        <v>14</v>
      </c>
      <c r="C101" s="59"/>
      <c r="D101" s="1143">
        <v>169</v>
      </c>
      <c r="E101" s="1143">
        <v>100</v>
      </c>
      <c r="F101" s="1143">
        <f t="shared" si="17"/>
        <v>269</v>
      </c>
      <c r="M101" s="56">
        <f>F107+F109</f>
        <v>1630</v>
      </c>
    </row>
    <row r="102" spans="2:13" ht="12.75">
      <c r="B102" s="103" t="s">
        <v>100</v>
      </c>
      <c r="C102" s="59"/>
      <c r="D102" s="1143">
        <v>3</v>
      </c>
      <c r="E102" s="1143"/>
      <c r="F102" s="1143">
        <f t="shared" si="17"/>
        <v>3</v>
      </c>
      <c r="I102" s="67"/>
    </row>
    <row r="103" spans="2:13" ht="12.75">
      <c r="B103" s="566" t="s">
        <v>334</v>
      </c>
      <c r="C103" s="59"/>
      <c r="D103" s="1144">
        <v>144</v>
      </c>
      <c r="E103" s="1144">
        <v>63</v>
      </c>
      <c r="F103" s="1144">
        <f t="shared" si="17"/>
        <v>207</v>
      </c>
      <c r="H103" s="282"/>
    </row>
    <row r="104" spans="2:13">
      <c r="B104" s="57"/>
      <c r="C104" s="57"/>
      <c r="D104" s="231"/>
      <c r="E104" s="231"/>
      <c r="F104" s="231"/>
    </row>
    <row r="105" spans="2:13" ht="12.75">
      <c r="B105" s="133" t="s">
        <v>335</v>
      </c>
      <c r="C105" s="57"/>
      <c r="D105" s="1145">
        <f t="shared" ref="D105:E105" si="18">SUM(D99:D103)</f>
        <v>416</v>
      </c>
      <c r="E105" s="1145">
        <f t="shared" si="18"/>
        <v>191</v>
      </c>
      <c r="F105" s="1145">
        <f>SUM(F99:F103)</f>
        <v>607</v>
      </c>
    </row>
    <row r="106" spans="2:13">
      <c r="B106" s="57"/>
      <c r="C106" s="57"/>
      <c r="D106" s="231"/>
      <c r="E106" s="231"/>
      <c r="F106" s="231"/>
      <c r="K106" s="166"/>
    </row>
    <row r="107" spans="2:13" ht="12.75">
      <c r="B107" s="134"/>
      <c r="C107" s="57"/>
      <c r="D107" s="1145">
        <f t="shared" ref="D107:E107" si="19">SUM(D97,D105)</f>
        <v>792</v>
      </c>
      <c r="E107" s="1145">
        <f t="shared" si="19"/>
        <v>798</v>
      </c>
      <c r="F107" s="1145">
        <f>SUM(F97,F105)</f>
        <v>1590</v>
      </c>
    </row>
    <row r="108" spans="2:13" ht="12.75">
      <c r="B108" s="134"/>
      <c r="C108" s="57"/>
      <c r="D108" s="1146"/>
      <c r="E108" s="1146"/>
      <c r="F108" s="1146"/>
    </row>
    <row r="109" spans="2:13" ht="12.75">
      <c r="B109" s="567" t="s">
        <v>480</v>
      </c>
      <c r="C109" s="59"/>
      <c r="D109" s="1147">
        <v>19</v>
      </c>
      <c r="E109" s="1147">
        <v>21</v>
      </c>
      <c r="F109" s="1147">
        <f>SUM(D109:E109)</f>
        <v>40</v>
      </c>
      <c r="G109" s="552"/>
    </row>
    <row r="110" spans="2:13" ht="12.75">
      <c r="B110" s="134"/>
      <c r="C110" s="57"/>
      <c r="D110" s="57"/>
      <c r="E110" s="57"/>
      <c r="F110" s="28"/>
    </row>
    <row r="111" spans="2:13">
      <c r="B111" s="1134" t="s">
        <v>725</v>
      </c>
      <c r="C111" s="57"/>
      <c r="D111" s="57"/>
      <c r="E111" s="57"/>
      <c r="F111" s="57"/>
    </row>
    <row r="112" spans="2:13">
      <c r="B112" s="1134" t="s">
        <v>726</v>
      </c>
      <c r="C112" s="57"/>
      <c r="D112" s="57"/>
      <c r="E112" s="57"/>
      <c r="F112" s="57"/>
    </row>
    <row r="113" spans="2:12">
      <c r="B113" s="1524" t="s">
        <v>727</v>
      </c>
      <c r="C113" s="1524"/>
      <c r="D113" s="1524"/>
      <c r="E113" s="1524"/>
      <c r="F113" s="1524"/>
      <c r="K113" s="166"/>
    </row>
    <row r="114" spans="2:12">
      <c r="B114" s="1525"/>
      <c r="C114" s="1525"/>
      <c r="D114" s="1525"/>
      <c r="E114" s="1525"/>
      <c r="F114" s="1525"/>
      <c r="G114" s="1525"/>
      <c r="H114" s="1525"/>
      <c r="K114" s="166"/>
    </row>
    <row r="115" spans="2:12">
      <c r="J115" s="56">
        <f>F92+F93+F94</f>
        <v>663</v>
      </c>
      <c r="K115" s="56">
        <f>F99+F100+F101+F102</f>
        <v>400</v>
      </c>
      <c r="L115" s="56">
        <f>J115+K115</f>
        <v>1063</v>
      </c>
    </row>
    <row r="116" spans="2:12">
      <c r="J116" s="166">
        <f>J115/L115</f>
        <v>0.62370649106302911</v>
      </c>
      <c r="K116" s="166">
        <f>K115/L115</f>
        <v>0.37629350893697083</v>
      </c>
    </row>
    <row r="118" spans="2:12">
      <c r="B118" s="747"/>
    </row>
    <row r="120" spans="2:12">
      <c r="K120" s="166"/>
    </row>
    <row r="121" spans="2:12">
      <c r="J121" s="56">
        <v>70025</v>
      </c>
      <c r="K121" s="1025">
        <v>60669</v>
      </c>
      <c r="L121" s="56">
        <f>SUM(J121:K121)</f>
        <v>130694</v>
      </c>
    </row>
    <row r="122" spans="2:12">
      <c r="J122" s="909">
        <f>J121/L121</f>
        <v>0.53579353298544696</v>
      </c>
      <c r="K122" s="909">
        <f>K121/L121</f>
        <v>0.46420646701455309</v>
      </c>
    </row>
  </sheetData>
  <mergeCells count="6">
    <mergeCell ref="B26:F26"/>
    <mergeCell ref="B27:H27"/>
    <mergeCell ref="B113:F113"/>
    <mergeCell ref="B114:H114"/>
    <mergeCell ref="B70:F70"/>
    <mergeCell ref="B71:H71"/>
  </mergeCells>
  <pageMargins left="0.11811023622047245" right="0.11811023622047245" top="0.35433070866141736" bottom="0.35433070866141736" header="0.31496062992125984" footer="0.31496062992125984"/>
  <pageSetup paperSize="9" scale="94" fitToHeight="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sheetPr>
  <dimension ref="A1:R83"/>
  <sheetViews>
    <sheetView showGridLines="0" topLeftCell="A28" zoomScaleNormal="90" zoomScaleSheetLayoutView="110" zoomScalePageLayoutView="90" workbookViewId="0">
      <selection activeCell="T11" sqref="T11"/>
    </sheetView>
  </sheetViews>
  <sheetFormatPr baseColWidth="10" defaultRowHeight="10.5"/>
  <cols>
    <col min="1" max="1" width="6.5" customWidth="1"/>
    <col min="3" max="3" width="28" customWidth="1"/>
    <col min="4" max="4" width="18.33203125" customWidth="1"/>
    <col min="5" max="5" width="17.5" customWidth="1"/>
    <col min="6" max="6" width="13.5" customWidth="1"/>
    <col min="7" max="7" width="12" customWidth="1"/>
    <col min="8" max="8" width="3.1640625" customWidth="1"/>
    <col min="9" max="10" width="11.6640625" customWidth="1"/>
    <col min="11" max="11" width="18.33203125" customWidth="1"/>
    <col min="12" max="13" width="13" customWidth="1"/>
    <col min="14" max="14" width="14.33203125" customWidth="1"/>
    <col min="15" max="15" width="9.6640625" customWidth="1"/>
  </cols>
  <sheetData>
    <row r="1" spans="1:18" ht="21">
      <c r="A1" s="174" t="s">
        <v>602</v>
      </c>
    </row>
    <row r="2" spans="1:18" ht="12" customHeight="1" thickBot="1"/>
    <row r="3" spans="1:18" ht="19.149999999999999" customHeight="1">
      <c r="B3" s="1768" t="s">
        <v>626</v>
      </c>
      <c r="C3" s="1768"/>
      <c r="D3" s="1768"/>
      <c r="E3" s="1768"/>
      <c r="F3" s="1768"/>
      <c r="G3" s="1768"/>
      <c r="I3" s="1770" t="s">
        <v>389</v>
      </c>
      <c r="J3" s="1771"/>
      <c r="K3" s="1771"/>
      <c r="L3" s="1771"/>
      <c r="M3" s="1771"/>
      <c r="N3" s="1772"/>
    </row>
    <row r="4" spans="1:18" ht="19.5" customHeight="1">
      <c r="B4" s="1768"/>
      <c r="C4" s="1768"/>
      <c r="D4" s="1768"/>
      <c r="E4" s="1768"/>
      <c r="F4" s="1768"/>
      <c r="G4" s="1768"/>
      <c r="I4" s="829"/>
      <c r="J4" s="185"/>
      <c r="K4" s="706"/>
      <c r="L4" s="826">
        <v>2020</v>
      </c>
      <c r="M4" s="826">
        <v>2021</v>
      </c>
      <c r="N4" s="889">
        <v>2022</v>
      </c>
    </row>
    <row r="5" spans="1:18" ht="19.5" customHeight="1">
      <c r="B5" s="1768"/>
      <c r="C5" s="1768"/>
      <c r="D5" s="1768"/>
      <c r="E5" s="1768"/>
      <c r="F5" s="1768"/>
      <c r="G5" s="1768"/>
      <c r="I5" s="829"/>
      <c r="J5" s="827"/>
      <c r="K5" s="828" t="s">
        <v>390</v>
      </c>
      <c r="L5" s="707">
        <v>5.8299999999999998E-2</v>
      </c>
      <c r="M5" s="707">
        <v>4.3999999999999997E-2</v>
      </c>
      <c r="N5" s="1360" t="s">
        <v>803</v>
      </c>
      <c r="R5" s="707"/>
    </row>
    <row r="6" spans="1:18" ht="19.5" customHeight="1" thickBot="1">
      <c r="B6" s="1769" t="s">
        <v>721</v>
      </c>
      <c r="C6" s="1769"/>
      <c r="D6" s="1769"/>
      <c r="E6" s="1769"/>
      <c r="F6" s="1769"/>
      <c r="G6" s="1769"/>
      <c r="I6" s="830"/>
      <c r="J6" s="831"/>
      <c r="K6" s="832" t="s">
        <v>388</v>
      </c>
      <c r="L6" s="833">
        <v>3.04E-2</v>
      </c>
      <c r="M6" s="833">
        <v>2.8799999999999999E-2</v>
      </c>
      <c r="N6" s="1361">
        <f>(H45+H46)/EffectifGlobal!F20</f>
        <v>2.8484848484848484E-2</v>
      </c>
      <c r="R6" s="707"/>
    </row>
    <row r="7" spans="1:18" ht="19.5" customHeight="1">
      <c r="B7" s="1769"/>
      <c r="C7" s="1769"/>
      <c r="D7" s="1769"/>
      <c r="E7" s="1769"/>
      <c r="F7" s="1769"/>
      <c r="G7" s="1769"/>
      <c r="I7" s="185"/>
      <c r="J7" s="828"/>
      <c r="K7" s="835"/>
      <c r="L7" s="707"/>
      <c r="M7" s="707"/>
      <c r="N7" s="836"/>
      <c r="R7" s="707"/>
    </row>
    <row r="8" spans="1:18" ht="19.5" customHeight="1">
      <c r="B8" s="834"/>
      <c r="C8" s="834"/>
      <c r="D8" s="834"/>
      <c r="E8" s="834"/>
      <c r="F8" s="834"/>
      <c r="G8" s="834"/>
      <c r="R8" s="707"/>
    </row>
    <row r="9" spans="1:18" ht="18.75" customHeight="1">
      <c r="B9" s="705"/>
      <c r="C9" s="705"/>
      <c r="D9" s="705"/>
      <c r="E9" s="705"/>
      <c r="F9" s="705"/>
      <c r="I9" s="589"/>
      <c r="J9" s="589"/>
      <c r="K9" s="589"/>
      <c r="L9" s="589"/>
      <c r="M9" s="589"/>
      <c r="N9" s="589"/>
    </row>
    <row r="10" spans="1:18" ht="18" customHeight="1">
      <c r="B10" s="589"/>
      <c r="C10" s="589"/>
      <c r="D10" s="589"/>
      <c r="E10" s="589"/>
      <c r="F10" s="589"/>
      <c r="G10" s="589"/>
      <c r="H10" s="589"/>
      <c r="O10" s="717"/>
    </row>
    <row r="11" spans="1:18" ht="27.75" customHeight="1">
      <c r="B11" s="1773"/>
      <c r="C11" s="1773"/>
      <c r="D11" s="1773"/>
      <c r="E11" s="1773"/>
      <c r="F11" s="589"/>
      <c r="I11" s="717"/>
      <c r="J11" s="717"/>
      <c r="K11" s="717"/>
      <c r="L11" s="717"/>
      <c r="M11" s="717"/>
      <c r="N11" s="717"/>
      <c r="P11" s="373"/>
    </row>
    <row r="12" spans="1:18" ht="19.5" customHeight="1">
      <c r="B12" s="589"/>
      <c r="C12" s="589"/>
      <c r="D12" s="589"/>
      <c r="E12" s="589"/>
      <c r="F12" s="589"/>
      <c r="G12" s="717"/>
      <c r="H12" s="717"/>
      <c r="I12" s="723"/>
      <c r="N12" s="765"/>
      <c r="P12" s="708"/>
    </row>
    <row r="13" spans="1:18" ht="12" customHeight="1">
      <c r="B13" s="723"/>
      <c r="C13" s="589"/>
      <c r="D13" s="589"/>
      <c r="E13" s="589"/>
      <c r="F13" s="589"/>
      <c r="I13" s="723"/>
      <c r="N13" s="765"/>
      <c r="P13" s="708"/>
    </row>
    <row r="14" spans="1:18" ht="12" customHeight="1">
      <c r="B14" s="723"/>
      <c r="I14" s="723"/>
      <c r="N14" s="765"/>
      <c r="P14" s="708"/>
    </row>
    <row r="15" spans="1:18" ht="12" customHeight="1">
      <c r="B15" s="723"/>
      <c r="C15" s="589"/>
      <c r="D15" s="589"/>
      <c r="E15" s="589"/>
      <c r="F15" s="589"/>
      <c r="I15" s="723"/>
      <c r="P15" s="708"/>
    </row>
    <row r="16" spans="1:18" ht="12" customHeight="1">
      <c r="B16" s="723"/>
      <c r="C16" s="589"/>
      <c r="D16" s="589"/>
      <c r="E16" s="589"/>
      <c r="F16" s="589"/>
      <c r="I16" s="723"/>
      <c r="P16" s="708"/>
    </row>
    <row r="17" spans="2:16" ht="12" customHeight="1">
      <c r="B17" s="723"/>
      <c r="C17" s="589"/>
      <c r="D17" s="589"/>
      <c r="E17" s="589"/>
      <c r="F17" s="589"/>
      <c r="I17" s="723"/>
      <c r="P17" s="708"/>
    </row>
    <row r="18" spans="2:16" ht="14.65" customHeight="1">
      <c r="B18" s="723"/>
      <c r="C18" s="589"/>
      <c r="D18" s="589"/>
      <c r="E18" s="589"/>
      <c r="F18" s="589"/>
      <c r="P18" s="708"/>
    </row>
    <row r="19" spans="2:16" ht="14.65" customHeight="1">
      <c r="B19" s="589"/>
      <c r="C19" s="589"/>
      <c r="D19" s="589"/>
      <c r="E19" s="589"/>
      <c r="F19" s="589"/>
    </row>
    <row r="20" spans="2:16" ht="12" customHeight="1">
      <c r="I20" s="10"/>
      <c r="J20" s="10"/>
      <c r="K20" s="10"/>
      <c r="L20" s="10"/>
      <c r="M20" s="10"/>
      <c r="N20" s="10"/>
    </row>
    <row r="21" spans="2:16" ht="12" customHeight="1">
      <c r="B21" s="716"/>
      <c r="C21" s="10"/>
      <c r="D21" s="10"/>
      <c r="E21" s="10"/>
      <c r="F21" s="10"/>
      <c r="G21" s="10"/>
      <c r="H21" s="10"/>
      <c r="I21" s="10"/>
      <c r="J21" s="10"/>
      <c r="K21" s="10"/>
      <c r="L21" s="10"/>
      <c r="M21" s="10"/>
      <c r="N21" s="10"/>
    </row>
    <row r="22" spans="2:16" ht="12" customHeight="1">
      <c r="B22" s="716"/>
      <c r="C22" s="10"/>
      <c r="D22" s="10"/>
      <c r="E22" s="10"/>
      <c r="F22" s="10"/>
      <c r="G22" s="10"/>
      <c r="H22" s="10"/>
      <c r="I22" s="1499"/>
      <c r="J22" s="1499"/>
      <c r="K22" s="1499"/>
      <c r="L22" s="1499"/>
      <c r="M22" s="1499"/>
      <c r="N22" s="1499"/>
    </row>
    <row r="23" spans="2:16" s="231" customFormat="1" ht="26.65" customHeight="1">
      <c r="B23" s="1499"/>
      <c r="C23" s="1499"/>
      <c r="D23" s="1499"/>
      <c r="E23" s="1499"/>
      <c r="F23" s="1499"/>
      <c r="G23" s="1499"/>
      <c r="H23" s="1499"/>
      <c r="I23" s="1499"/>
      <c r="J23" s="1499"/>
      <c r="K23" s="1499"/>
      <c r="L23" s="1499"/>
      <c r="M23" s="1499"/>
      <c r="N23" s="1499"/>
    </row>
    <row r="24" spans="2:16" s="231" customFormat="1" ht="26.65" customHeight="1">
      <c r="B24" s="1499"/>
      <c r="C24" s="1499"/>
      <c r="D24" s="1499"/>
      <c r="E24" s="1499"/>
      <c r="F24" s="1499"/>
      <c r="G24" s="1499"/>
      <c r="H24" s="1499"/>
      <c r="I24"/>
      <c r="J24"/>
      <c r="K24"/>
      <c r="L24"/>
      <c r="M24"/>
      <c r="N24"/>
    </row>
    <row r="25" spans="2:16" ht="12" customHeight="1"/>
    <row r="26" spans="2:16" ht="12" customHeight="1"/>
    <row r="27" spans="2:16" ht="12" customHeight="1"/>
    <row r="28" spans="2:16" ht="12" customHeight="1"/>
    <row r="29" spans="2:16" ht="12" customHeight="1"/>
    <row r="30" spans="2:16" ht="12" customHeight="1"/>
    <row r="31" spans="2:16" ht="12" customHeight="1"/>
    <row r="38" spans="1:14" ht="12">
      <c r="I38" s="689"/>
      <c r="J38" s="231"/>
      <c r="K38" s="728"/>
      <c r="L38" s="231"/>
      <c r="M38" s="231"/>
      <c r="N38" s="231"/>
    </row>
    <row r="39" spans="1:14" s="231" customFormat="1" ht="21" customHeight="1">
      <c r="A39" s="230" t="s">
        <v>617</v>
      </c>
      <c r="C39" s="583"/>
      <c r="D39" s="583"/>
      <c r="E39" s="583"/>
      <c r="I39" s="689"/>
    </row>
    <row r="40" spans="1:14" s="231" customFormat="1" ht="12" customHeight="1">
      <c r="B40" s="709"/>
      <c r="C40" s="583"/>
      <c r="D40" s="583"/>
      <c r="E40" s="583"/>
      <c r="I40" s="689"/>
    </row>
    <row r="41" spans="1:14" s="231" customFormat="1" ht="12" customHeight="1" thickBot="1">
      <c r="B41" s="709"/>
      <c r="C41" s="583"/>
      <c r="D41" s="583"/>
      <c r="E41" s="583"/>
    </row>
    <row r="42" spans="1:14" s="231" customFormat="1" ht="10.15" customHeight="1" thickBot="1">
      <c r="E42" s="710"/>
      <c r="F42" s="710">
        <v>2019</v>
      </c>
      <c r="G42" s="710">
        <v>2020</v>
      </c>
      <c r="H42" s="710">
        <v>2021</v>
      </c>
      <c r="I42" s="245"/>
      <c r="J42" s="245"/>
      <c r="K42" s="245"/>
      <c r="L42" s="245"/>
      <c r="M42" s="245"/>
      <c r="N42" s="245"/>
    </row>
    <row r="43" spans="1:14" s="245" customFormat="1" ht="10.15" customHeight="1" thickBot="1">
      <c r="E43" s="711" t="s">
        <v>505</v>
      </c>
      <c r="F43" s="245">
        <v>9</v>
      </c>
      <c r="G43" s="245">
        <v>9</v>
      </c>
      <c r="H43" s="245">
        <v>12</v>
      </c>
    </row>
    <row r="44" spans="1:14" s="245" customFormat="1" ht="10.15" customHeight="1" thickBot="1">
      <c r="E44" s="711" t="s">
        <v>312</v>
      </c>
      <c r="F44" s="245">
        <v>36</v>
      </c>
      <c r="G44" s="245">
        <v>36</v>
      </c>
      <c r="H44" s="245">
        <v>35</v>
      </c>
      <c r="I44" s="231"/>
      <c r="J44" s="231"/>
      <c r="K44" s="231"/>
      <c r="L44" s="231"/>
      <c r="M44" s="231"/>
      <c r="N44" s="231"/>
    </row>
    <row r="45" spans="1:14" s="231" customFormat="1" ht="10.15" customHeight="1" thickBot="1">
      <c r="E45" s="711" t="s">
        <v>87</v>
      </c>
      <c r="F45" s="231">
        <v>27</v>
      </c>
      <c r="G45" s="231">
        <v>27</v>
      </c>
      <c r="H45" s="231">
        <v>28</v>
      </c>
    </row>
    <row r="46" spans="1:14" s="231" customFormat="1" ht="10.15" customHeight="1" thickBot="1">
      <c r="E46" s="711" t="s">
        <v>130</v>
      </c>
      <c r="F46" s="231">
        <v>18</v>
      </c>
      <c r="G46" s="231">
        <v>18</v>
      </c>
      <c r="H46" s="231">
        <v>19</v>
      </c>
    </row>
    <row r="47" spans="1:14" s="231" customFormat="1" ht="10.15" customHeight="1" thickBot="1">
      <c r="E47" s="711" t="s">
        <v>267</v>
      </c>
      <c r="F47" s="231">
        <v>30</v>
      </c>
      <c r="G47" s="231">
        <v>31</v>
      </c>
      <c r="H47" s="231">
        <v>29</v>
      </c>
    </row>
    <row r="48" spans="1:14" s="231" customFormat="1" ht="10.15" customHeight="1" thickBot="1">
      <c r="E48" s="711" t="s">
        <v>234</v>
      </c>
      <c r="F48" s="231">
        <v>15</v>
      </c>
      <c r="G48" s="231">
        <v>14</v>
      </c>
      <c r="H48" s="231">
        <v>18</v>
      </c>
      <c r="I48" s="713"/>
    </row>
    <row r="49" spans="1:15" s="231" customFormat="1" ht="10.15" customHeight="1">
      <c r="E49" s="712"/>
      <c r="F49" s="713"/>
      <c r="G49" s="713"/>
      <c r="H49" s="713"/>
      <c r="I49" s="713"/>
    </row>
    <row r="50" spans="1:15" s="231" customFormat="1" ht="10.15" customHeight="1">
      <c r="E50" s="712"/>
      <c r="F50" s="713"/>
      <c r="G50" s="713"/>
      <c r="H50" s="713"/>
      <c r="I50" s="713"/>
    </row>
    <row r="51" spans="1:15" s="231" customFormat="1" ht="10.15" customHeight="1">
      <c r="E51" s="712"/>
      <c r="F51" s="713"/>
      <c r="G51" s="713"/>
      <c r="H51" s="713"/>
      <c r="I51" s="713"/>
    </row>
    <row r="52" spans="1:15" s="231" customFormat="1" ht="10.15" customHeight="1">
      <c r="E52" s="712"/>
      <c r="F52" s="713"/>
      <c r="G52" s="713"/>
      <c r="H52" s="713"/>
      <c r="I52" s="713"/>
    </row>
    <row r="53" spans="1:15" s="231" customFormat="1" ht="10.15" customHeight="1">
      <c r="E53" s="712"/>
      <c r="F53" s="713"/>
      <c r="G53" s="713"/>
      <c r="H53" s="713"/>
      <c r="I53" s="713"/>
    </row>
    <row r="54" spans="1:15" s="231" customFormat="1" ht="10.15" customHeight="1">
      <c r="E54" s="712"/>
      <c r="F54" s="713"/>
      <c r="G54" s="713"/>
      <c r="H54" s="713"/>
      <c r="I54" s="713"/>
    </row>
    <row r="55" spans="1:15" s="231" customFormat="1" ht="10.15" customHeight="1">
      <c r="E55" s="712"/>
      <c r="F55" s="713"/>
      <c r="G55" s="713"/>
      <c r="H55" s="713"/>
      <c r="I55" s="713"/>
    </row>
    <row r="56" spans="1:15" s="231" customFormat="1" ht="10.15" customHeight="1">
      <c r="E56" s="712"/>
      <c r="F56" s="713"/>
      <c r="G56" s="713"/>
      <c r="H56" s="713"/>
      <c r="I56" s="713"/>
    </row>
    <row r="57" spans="1:15" s="231" customFormat="1" ht="10.15" customHeight="1">
      <c r="E57" s="712"/>
      <c r="F57" s="713"/>
      <c r="G57" s="713"/>
      <c r="H57" s="713"/>
      <c r="I57" s="713"/>
    </row>
    <row r="58" spans="1:15" s="231" customFormat="1" ht="16.899999999999999" customHeight="1">
      <c r="A58" s="1774"/>
      <c r="B58" s="1775"/>
      <c r="C58" s="1775"/>
      <c r="D58" s="1776"/>
      <c r="E58" s="712"/>
      <c r="F58" s="713"/>
      <c r="G58" s="713"/>
      <c r="H58" s="713"/>
      <c r="I58" s="713"/>
    </row>
    <row r="59" spans="1:15" s="231" customFormat="1" ht="10.15" customHeight="1">
      <c r="E59" s="712"/>
      <c r="F59" s="713"/>
      <c r="G59" s="713"/>
      <c r="H59" s="713"/>
      <c r="I59"/>
      <c r="J59"/>
      <c r="K59"/>
      <c r="L59"/>
      <c r="M59"/>
      <c r="N59"/>
    </row>
    <row r="60" spans="1:15" ht="18.75">
      <c r="A60" s="230" t="s">
        <v>616</v>
      </c>
      <c r="I60" s="1161"/>
      <c r="J60" s="1161"/>
      <c r="K60" s="1161"/>
      <c r="L60" s="1161"/>
      <c r="M60" s="1161"/>
      <c r="N60" s="1161"/>
    </row>
    <row r="61" spans="1:15" s="1161" customFormat="1" ht="19.5" thickBot="1">
      <c r="A61" s="230"/>
    </row>
    <row r="62" spans="1:15" ht="12.75" thickBot="1">
      <c r="H62" s="1161"/>
      <c r="I62" s="715">
        <v>2020</v>
      </c>
      <c r="J62" s="715">
        <v>2021</v>
      </c>
      <c r="K62" s="715">
        <v>2022</v>
      </c>
      <c r="O62" s="1161"/>
    </row>
    <row r="63" spans="1:15" ht="20.65" customHeight="1" thickBot="1">
      <c r="B63" s="1779" t="s">
        <v>604</v>
      </c>
      <c r="C63" s="1780"/>
      <c r="D63" s="1780"/>
      <c r="E63" s="1780"/>
      <c r="F63" s="1780"/>
      <c r="G63" s="1780"/>
      <c r="I63" s="1216">
        <v>66597</v>
      </c>
      <c r="J63" s="1216">
        <v>16706.02</v>
      </c>
      <c r="K63" s="1501">
        <f>SUM(K64:K68)</f>
        <v>24694.36</v>
      </c>
    </row>
    <row r="64" spans="1:15" ht="12" customHeight="1" thickBot="1">
      <c r="B64" s="1774" t="s">
        <v>606</v>
      </c>
      <c r="C64" s="1775"/>
      <c r="D64" s="1775"/>
      <c r="E64" s="1776"/>
      <c r="G64" s="245"/>
      <c r="H64" s="231"/>
      <c r="I64" s="1219">
        <v>5726</v>
      </c>
      <c r="J64" s="1219"/>
      <c r="K64" s="1502"/>
    </row>
    <row r="65" spans="1:15" ht="12" customHeight="1" thickBot="1">
      <c r="B65" s="1774" t="s">
        <v>605</v>
      </c>
      <c r="C65" s="1775"/>
      <c r="D65" s="1775"/>
      <c r="E65" s="1776"/>
      <c r="G65" s="245"/>
      <c r="H65" s="245"/>
      <c r="I65" s="1219">
        <v>7950</v>
      </c>
      <c r="J65" s="1219">
        <v>10109</v>
      </c>
      <c r="K65" s="1502">
        <v>6059.7</v>
      </c>
    </row>
    <row r="66" spans="1:15" ht="12" customHeight="1" thickBot="1">
      <c r="B66" s="1774" t="s">
        <v>753</v>
      </c>
      <c r="C66" s="1775"/>
      <c r="D66" s="1775"/>
      <c r="E66" s="1776"/>
      <c r="G66" s="245"/>
      <c r="H66" s="245"/>
      <c r="I66" s="1219">
        <v>4925</v>
      </c>
      <c r="J66" s="1219">
        <v>2997.02</v>
      </c>
      <c r="K66" s="1502">
        <v>11474.66</v>
      </c>
    </row>
    <row r="67" spans="1:15" ht="12" customHeight="1" thickBot="1">
      <c r="B67" s="1774" t="s">
        <v>763</v>
      </c>
      <c r="C67" s="1775"/>
      <c r="D67" s="1775"/>
      <c r="E67" s="1776"/>
      <c r="G67" s="245"/>
      <c r="H67" s="245"/>
      <c r="I67" s="1219">
        <v>42202</v>
      </c>
      <c r="J67" s="1219"/>
      <c r="K67" s="1502"/>
    </row>
    <row r="68" spans="1:15" ht="12.75" customHeight="1" thickBot="1">
      <c r="B68" s="1774" t="s">
        <v>754</v>
      </c>
      <c r="C68" s="1775"/>
      <c r="D68" s="1775"/>
      <c r="E68" s="1776"/>
      <c r="G68" s="245"/>
      <c r="H68" s="245"/>
      <c r="I68" s="1219">
        <v>5794</v>
      </c>
      <c r="J68" s="1219">
        <v>3600</v>
      </c>
      <c r="K68" s="1503">
        <v>7160</v>
      </c>
    </row>
    <row r="69" spans="1:15" ht="12.75" thickBot="1">
      <c r="B69" s="690"/>
      <c r="C69" s="690"/>
      <c r="D69" s="690"/>
      <c r="E69" s="690"/>
      <c r="F69" s="388"/>
      <c r="G69" s="388"/>
      <c r="H69" s="245"/>
      <c r="I69" s="1217"/>
      <c r="J69" s="1217"/>
      <c r="K69" s="1509"/>
    </row>
    <row r="70" spans="1:15" ht="21.75" customHeight="1" thickBot="1">
      <c r="B70" s="1781" t="s">
        <v>722</v>
      </c>
      <c r="C70" s="1781"/>
      <c r="D70" s="1781"/>
      <c r="E70" s="1781"/>
      <c r="F70" s="1781"/>
      <c r="G70" s="1781"/>
      <c r="H70" s="388"/>
      <c r="I70" s="1766">
        <v>35181</v>
      </c>
      <c r="J70" s="1767">
        <v>44147.34</v>
      </c>
      <c r="K70" s="1764"/>
    </row>
    <row r="71" spans="1:15" ht="12" thickBot="1">
      <c r="B71" s="1781"/>
      <c r="C71" s="1781"/>
      <c r="D71" s="1781"/>
      <c r="E71" s="1781"/>
      <c r="F71" s="1781"/>
      <c r="G71" s="1781"/>
      <c r="H71" s="231"/>
      <c r="I71" s="1766"/>
      <c r="J71" s="1767"/>
      <c r="K71" s="1765"/>
    </row>
    <row r="72" spans="1:15" ht="12" thickBot="1">
      <c r="B72" s="231"/>
      <c r="C72" s="231"/>
      <c r="D72" s="231"/>
      <c r="E72" s="231"/>
      <c r="F72" s="231"/>
      <c r="G72" s="231"/>
      <c r="H72" s="231"/>
      <c r="I72" s="1218"/>
      <c r="J72" s="1218"/>
      <c r="K72" s="1511"/>
    </row>
    <row r="73" spans="1:15" ht="21" customHeight="1" thickBot="1">
      <c r="B73" s="1779" t="s">
        <v>705</v>
      </c>
      <c r="C73" s="1780"/>
      <c r="D73" s="1780"/>
      <c r="E73" s="1780"/>
      <c r="F73" s="1780"/>
      <c r="G73" s="1780"/>
      <c r="H73" s="231"/>
      <c r="I73" s="1216">
        <v>103</v>
      </c>
      <c r="J73" s="1510">
        <v>1572</v>
      </c>
      <c r="K73" s="1512"/>
    </row>
    <row r="74" spans="1:15" ht="12" thickBot="1">
      <c r="B74" s="231"/>
      <c r="C74" s="231"/>
      <c r="D74" s="231"/>
      <c r="E74" s="231"/>
      <c r="F74" s="231"/>
      <c r="G74" s="231"/>
      <c r="H74" s="231"/>
      <c r="I74" s="1218"/>
      <c r="J74" s="1218"/>
      <c r="K74" s="1511"/>
    </row>
    <row r="75" spans="1:15" ht="18.600000000000001" customHeight="1" thickBot="1">
      <c r="B75" s="1779" t="s">
        <v>880</v>
      </c>
      <c r="C75" s="1780"/>
      <c r="D75" s="1780"/>
      <c r="E75" s="1780"/>
      <c r="F75" s="1780"/>
      <c r="G75" s="1780"/>
      <c r="H75" s="231"/>
      <c r="I75" s="1216">
        <v>4605</v>
      </c>
      <c r="J75" s="1513" t="s">
        <v>740</v>
      </c>
      <c r="K75" s="1514" t="s">
        <v>740</v>
      </c>
    </row>
    <row r="76" spans="1:15" ht="12" thickBot="1">
      <c r="B76" s="231"/>
      <c r="C76" s="231"/>
      <c r="D76" s="231"/>
      <c r="E76" s="231"/>
      <c r="F76" s="231"/>
      <c r="G76" s="231"/>
      <c r="H76" s="231"/>
      <c r="I76" s="1218"/>
      <c r="J76" s="1218"/>
      <c r="K76" s="1515"/>
    </row>
    <row r="77" spans="1:15" ht="15.75" thickBot="1">
      <c r="B77" s="1779" t="s">
        <v>707</v>
      </c>
      <c r="C77" s="1780"/>
      <c r="D77" s="1780"/>
      <c r="E77" s="1780"/>
      <c r="F77" s="1780"/>
      <c r="G77" s="1780"/>
      <c r="H77" s="231"/>
      <c r="I77" s="1216">
        <v>211932</v>
      </c>
      <c r="J77" s="1510">
        <v>211774.35</v>
      </c>
      <c r="K77" s="1512"/>
    </row>
    <row r="78" spans="1:15" ht="18.75">
      <c r="A78" s="230" t="s">
        <v>710</v>
      </c>
      <c r="B78" s="231"/>
      <c r="C78" s="231"/>
      <c r="D78" s="231"/>
      <c r="E78" s="231"/>
      <c r="F78" s="231"/>
      <c r="G78" s="231"/>
      <c r="H78" s="231"/>
      <c r="I78" s="772"/>
      <c r="K78" s="773"/>
    </row>
    <row r="79" spans="1:15" s="139" customFormat="1" ht="19.899999999999999" customHeight="1" thickBot="1">
      <c r="B79"/>
      <c r="C79"/>
      <c r="D79"/>
      <c r="E79"/>
      <c r="F79"/>
      <c r="G79"/>
      <c r="H79" s="231"/>
      <c r="I79"/>
      <c r="J79"/>
      <c r="K79"/>
      <c r="O79"/>
    </row>
    <row r="80" spans="1:15" ht="12.75" thickBot="1">
      <c r="C80" s="714"/>
      <c r="D80" s="715">
        <v>2020</v>
      </c>
      <c r="E80" s="715">
        <v>2021</v>
      </c>
      <c r="F80" s="1517">
        <v>2022</v>
      </c>
      <c r="O80" s="139"/>
    </row>
    <row r="81" spans="2:11" ht="12.75" thickBot="1">
      <c r="B81" s="1777" t="s">
        <v>618</v>
      </c>
      <c r="C81" s="1778"/>
      <c r="D81" s="837">
        <v>64</v>
      </c>
      <c r="E81" s="1516">
        <v>62</v>
      </c>
      <c r="F81" s="1518" t="s">
        <v>740</v>
      </c>
      <c r="G81" s="139"/>
      <c r="I81" s="139"/>
      <c r="J81" s="139"/>
      <c r="K81" s="139"/>
    </row>
    <row r="82" spans="2:11">
      <c r="D82" s="787"/>
      <c r="F82" s="1519"/>
      <c r="H82" s="139"/>
    </row>
    <row r="83" spans="2:11" ht="11.25">
      <c r="D83" s="770"/>
    </row>
  </sheetData>
  <mergeCells count="19">
    <mergeCell ref="B81:C81"/>
    <mergeCell ref="B73:G73"/>
    <mergeCell ref="B63:G63"/>
    <mergeCell ref="B64:E64"/>
    <mergeCell ref="B65:E65"/>
    <mergeCell ref="B70:G71"/>
    <mergeCell ref="B77:G77"/>
    <mergeCell ref="B66:E66"/>
    <mergeCell ref="B68:E68"/>
    <mergeCell ref="B75:G75"/>
    <mergeCell ref="B67:E67"/>
    <mergeCell ref="K70:K71"/>
    <mergeCell ref="I70:I71"/>
    <mergeCell ref="J70:J71"/>
    <mergeCell ref="B3:G5"/>
    <mergeCell ref="B6:G7"/>
    <mergeCell ref="I3:N3"/>
    <mergeCell ref="B11:E11"/>
    <mergeCell ref="A58:D58"/>
  </mergeCells>
  <pageMargins left="0.11811023622047245" right="0.11811023622047245" top="0.35433070866141736" bottom="0.35433070866141736" header="0.31496062992125984" footer="0.31496062992125984"/>
  <pageSetup paperSize="9" scale="84" orientation="landscape" r:id="rId1"/>
  <rowBreaks count="2" manualBreakCount="2">
    <brk id="37" max="13" man="1"/>
    <brk id="83" max="14"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92D050"/>
  </sheetPr>
  <dimension ref="A1:S56"/>
  <sheetViews>
    <sheetView showGridLines="0" topLeftCell="A20" zoomScaleNormal="100" zoomScaleSheetLayoutView="80" workbookViewId="0">
      <selection activeCell="G37" sqref="G37"/>
    </sheetView>
  </sheetViews>
  <sheetFormatPr baseColWidth="10" defaultColWidth="9.6640625" defaultRowHeight="10.5"/>
  <cols>
    <col min="1" max="1" width="3.33203125" customWidth="1"/>
    <col min="2" max="2" width="21.33203125" customWidth="1"/>
    <col min="3" max="3" width="19.1640625" customWidth="1"/>
    <col min="5" max="5" width="16.1640625" customWidth="1"/>
    <col min="6" max="6" width="11.1640625" customWidth="1"/>
    <col min="7" max="7" width="15.6640625" customWidth="1"/>
    <col min="8" max="8" width="11.1640625" customWidth="1"/>
    <col min="9" max="10" width="15.6640625" customWidth="1"/>
    <col min="11" max="13" width="14.6640625" customWidth="1"/>
    <col min="14" max="14" width="6" customWidth="1"/>
    <col min="16" max="16" width="9.5" customWidth="1"/>
    <col min="17" max="17" width="9.33203125" customWidth="1"/>
  </cols>
  <sheetData>
    <row r="1" spans="1:19" ht="18.75">
      <c r="A1" s="252" t="s">
        <v>615</v>
      </c>
    </row>
    <row r="2" spans="1:19" s="56" customFormat="1" ht="12.6" customHeight="1"/>
    <row r="3" spans="1:19" s="56" customFormat="1" ht="18.75" customHeight="1"/>
    <row r="4" spans="1:19" s="56" customFormat="1" ht="18.75" customHeight="1"/>
    <row r="5" spans="1:19" s="56" customFormat="1" ht="18.75" customHeight="1">
      <c r="A5" s="57"/>
    </row>
    <row r="6" spans="1:19" s="56" customFormat="1" ht="18.75" customHeight="1">
      <c r="A6" s="57"/>
    </row>
    <row r="7" spans="1:19" s="56" customFormat="1" ht="14.65" customHeight="1">
      <c r="A7" s="57"/>
    </row>
    <row r="8" spans="1:19" ht="21.75" customHeight="1">
      <c r="A8" s="425" t="s">
        <v>723</v>
      </c>
      <c r="H8" s="425" t="s">
        <v>427</v>
      </c>
      <c r="J8" s="301"/>
      <c r="K8" s="425"/>
      <c r="L8" s="425"/>
      <c r="M8" s="425"/>
      <c r="N8" s="425"/>
    </row>
    <row r="9" spans="1:19" ht="10.15" customHeight="1" thickBot="1">
      <c r="A9" s="57"/>
      <c r="C9" s="284"/>
      <c r="I9" s="301"/>
    </row>
    <row r="10" spans="1:19" ht="24.75" customHeight="1" thickBot="1">
      <c r="A10" s="57"/>
      <c r="B10" s="1797" t="s">
        <v>809</v>
      </c>
      <c r="C10" s="1798"/>
      <c r="I10" s="424" t="s">
        <v>614</v>
      </c>
      <c r="J10" s="1215" t="s">
        <v>424</v>
      </c>
    </row>
    <row r="11" spans="1:19" ht="24.75" customHeight="1" thickBot="1">
      <c r="A11" s="57"/>
      <c r="B11" s="1797" t="s">
        <v>810</v>
      </c>
      <c r="C11" s="1798"/>
      <c r="H11" s="170">
        <v>2021</v>
      </c>
      <c r="I11" s="899">
        <v>55890</v>
      </c>
      <c r="J11" s="899">
        <v>16446</v>
      </c>
    </row>
    <row r="12" spans="1:19" ht="24.75" customHeight="1" thickBot="1">
      <c r="B12" s="1797" t="s">
        <v>425</v>
      </c>
      <c r="C12" s="1798"/>
      <c r="H12" s="1353">
        <v>2022</v>
      </c>
      <c r="I12" s="1354">
        <v>89056</v>
      </c>
      <c r="J12" s="1354">
        <v>40661</v>
      </c>
    </row>
    <row r="13" spans="1:19" ht="13.9" customHeight="1">
      <c r="B13" s="201"/>
    </row>
    <row r="14" spans="1:19" ht="16.899999999999999" customHeight="1" thickBot="1">
      <c r="A14" s="425" t="s">
        <v>426</v>
      </c>
      <c r="B14" s="155"/>
    </row>
    <row r="15" spans="1:19" s="139" customFormat="1" ht="22.5" customHeight="1" thickBot="1">
      <c r="A15" s="382"/>
      <c r="D15" s="1750">
        <v>2020</v>
      </c>
      <c r="E15" s="1790"/>
      <c r="F15" s="1750">
        <v>2021</v>
      </c>
      <c r="G15" s="1790"/>
      <c r="H15" s="1791">
        <v>2022</v>
      </c>
      <c r="I15" s="1792"/>
      <c r="J15" s="302"/>
      <c r="K15" s="385"/>
      <c r="L15" s="385"/>
      <c r="M15" s="385"/>
      <c r="N15" s="385"/>
      <c r="O15" s="245"/>
      <c r="P15" s="245"/>
      <c r="Q15" s="245"/>
      <c r="R15" s="245"/>
      <c r="S15" s="245"/>
    </row>
    <row r="16" spans="1:19" s="139" customFormat="1" ht="22.5" customHeight="1" thickBot="1">
      <c r="A16" s="382"/>
      <c r="B16" s="1702" t="s">
        <v>428</v>
      </c>
      <c r="C16" s="1701"/>
      <c r="D16" s="1589">
        <v>11</v>
      </c>
      <c r="E16" s="1591"/>
      <c r="F16" s="1589">
        <v>8</v>
      </c>
      <c r="G16" s="1591"/>
      <c r="H16" s="1782">
        <v>14</v>
      </c>
      <c r="I16" s="1783"/>
      <c r="J16" s="302"/>
      <c r="K16" s="385"/>
      <c r="L16" s="385"/>
      <c r="M16" s="385"/>
      <c r="N16" s="385"/>
      <c r="O16" s="245"/>
      <c r="P16" s="245"/>
      <c r="Q16" s="245"/>
      <c r="R16" s="245"/>
      <c r="S16" s="245"/>
    </row>
    <row r="17" spans="1:19" s="139" customFormat="1" ht="22.5" customHeight="1" thickBot="1">
      <c r="A17" s="382"/>
      <c r="B17" s="1702" t="s">
        <v>429</v>
      </c>
      <c r="C17" s="1701"/>
      <c r="D17" s="1795">
        <v>58</v>
      </c>
      <c r="E17" s="1796"/>
      <c r="F17" s="1795">
        <v>100</v>
      </c>
      <c r="G17" s="1796"/>
      <c r="H17" s="1793">
        <v>112</v>
      </c>
      <c r="I17" s="1794"/>
      <c r="J17" s="302"/>
      <c r="K17" s="385"/>
      <c r="L17" s="385"/>
      <c r="M17" s="385"/>
      <c r="N17" s="385"/>
      <c r="O17" s="245"/>
      <c r="P17" s="245"/>
      <c r="Q17" s="245"/>
      <c r="R17" s="245"/>
      <c r="S17" s="245"/>
    </row>
    <row r="18" spans="1:19" s="139" customFormat="1" ht="22.5" customHeight="1" thickBot="1">
      <c r="A18" s="382"/>
      <c r="B18" s="1702" t="s">
        <v>430</v>
      </c>
      <c r="C18" s="1701"/>
      <c r="D18" s="1589">
        <v>637</v>
      </c>
      <c r="E18" s="1591"/>
      <c r="F18" s="1589">
        <v>800</v>
      </c>
      <c r="G18" s="1591"/>
      <c r="H18" s="1782">
        <v>1556</v>
      </c>
      <c r="I18" s="1783"/>
      <c r="J18" s="302"/>
      <c r="K18" s="385"/>
      <c r="L18" s="385"/>
      <c r="M18" s="385"/>
      <c r="N18" s="385"/>
      <c r="O18" s="245"/>
      <c r="P18" s="245"/>
      <c r="Q18" s="245"/>
      <c r="R18" s="245"/>
      <c r="S18" s="245"/>
    </row>
    <row r="19" spans="1:19" s="139" customFormat="1" ht="22.5" customHeight="1" thickBot="1">
      <c r="B19" s="1702" t="s">
        <v>431</v>
      </c>
      <c r="C19" s="1701"/>
      <c r="D19" s="1589" t="s">
        <v>811</v>
      </c>
      <c r="E19" s="1591"/>
      <c r="F19" s="1589" t="s">
        <v>811</v>
      </c>
      <c r="G19" s="1591"/>
      <c r="H19" s="1782">
        <v>234</v>
      </c>
      <c r="I19" s="1783"/>
      <c r="J19" s="274"/>
      <c r="K19" s="386"/>
      <c r="L19" s="386"/>
      <c r="M19" s="386"/>
      <c r="N19" s="386"/>
      <c r="O19" s="387"/>
      <c r="P19" s="387"/>
      <c r="Q19" s="245"/>
      <c r="R19" s="245"/>
      <c r="S19" s="245"/>
    </row>
    <row r="20" spans="1:19" s="139" customFormat="1" ht="22.5" customHeight="1" thickBot="1">
      <c r="B20" s="1702" t="s">
        <v>502</v>
      </c>
      <c r="C20" s="1701"/>
      <c r="D20" s="1589">
        <v>76</v>
      </c>
      <c r="E20" s="1591"/>
      <c r="F20" s="1589">
        <v>446</v>
      </c>
      <c r="G20" s="1591"/>
      <c r="H20" s="1782">
        <v>649</v>
      </c>
      <c r="I20" s="1783"/>
      <c r="J20" s="274"/>
      <c r="K20" s="386"/>
      <c r="L20" s="386"/>
      <c r="M20" s="386"/>
      <c r="N20" s="386"/>
      <c r="O20" s="387"/>
      <c r="P20" s="387"/>
      <c r="Q20" s="245"/>
      <c r="R20" s="245"/>
      <c r="S20" s="245"/>
    </row>
    <row r="21" spans="1:19" s="139" customFormat="1" ht="22.5" customHeight="1" thickBot="1">
      <c r="B21" s="1702" t="s">
        <v>415</v>
      </c>
      <c r="C21" s="1701" t="s">
        <v>368</v>
      </c>
      <c r="D21" s="1586" t="s">
        <v>812</v>
      </c>
      <c r="E21" s="1588"/>
      <c r="F21" s="1586" t="s">
        <v>979</v>
      </c>
      <c r="G21" s="1588"/>
      <c r="H21" s="1784" t="s">
        <v>979</v>
      </c>
      <c r="I21" s="1785"/>
      <c r="J21" s="274"/>
      <c r="K21" s="418" t="s">
        <v>414</v>
      </c>
      <c r="L21" s="418"/>
      <c r="M21" s="418"/>
      <c r="N21" s="418"/>
      <c r="O21" s="418"/>
      <c r="P21" s="418"/>
      <c r="Q21" s="418"/>
      <c r="R21" s="418"/>
      <c r="S21" s="418"/>
    </row>
    <row r="22" spans="1:19" s="139" customFormat="1" ht="22.5" customHeight="1" thickBot="1">
      <c r="B22" s="1702" t="s">
        <v>501</v>
      </c>
      <c r="C22" s="1701"/>
      <c r="D22" s="1589" t="s">
        <v>813</v>
      </c>
      <c r="E22" s="1591"/>
      <c r="F22" s="1589" t="s">
        <v>980</v>
      </c>
      <c r="G22" s="1591"/>
      <c r="H22" s="1782" t="s">
        <v>1132</v>
      </c>
      <c r="I22" s="1783"/>
      <c r="J22" s="274"/>
      <c r="K22" s="418"/>
      <c r="L22" s="418"/>
      <c r="M22" s="418"/>
      <c r="N22" s="418"/>
      <c r="O22" s="418"/>
      <c r="P22" s="418"/>
      <c r="Q22" s="418"/>
      <c r="R22" s="418"/>
      <c r="S22" s="418"/>
    </row>
    <row r="23" spans="1:19" s="139" customFormat="1" ht="22.5" customHeight="1" thickBot="1">
      <c r="B23" s="1702" t="s">
        <v>432</v>
      </c>
      <c r="C23" s="1701"/>
      <c r="D23" s="1589">
        <v>717</v>
      </c>
      <c r="E23" s="1591"/>
      <c r="F23" s="1589">
        <v>782</v>
      </c>
      <c r="G23" s="1591"/>
      <c r="H23" s="1782">
        <v>1425</v>
      </c>
      <c r="I23" s="1783"/>
      <c r="J23" s="274"/>
      <c r="K23" s="418"/>
      <c r="L23" s="418"/>
      <c r="M23" s="418"/>
      <c r="N23" s="418"/>
      <c r="O23" s="418"/>
      <c r="P23" s="418"/>
      <c r="Q23" s="418"/>
      <c r="R23" s="418"/>
      <c r="S23" s="418"/>
    </row>
    <row r="24" spans="1:19" s="139" customFormat="1" ht="22.5" customHeight="1" thickBot="1">
      <c r="B24" s="1702" t="s">
        <v>433</v>
      </c>
      <c r="C24" s="1701"/>
      <c r="D24" s="1788" t="s">
        <v>814</v>
      </c>
      <c r="E24" s="1789"/>
      <c r="F24" s="1788" t="s">
        <v>814</v>
      </c>
      <c r="G24" s="1789"/>
      <c r="H24" s="1786">
        <v>56500</v>
      </c>
      <c r="I24" s="1787"/>
      <c r="J24" s="274"/>
      <c r="K24" s="418"/>
      <c r="L24" s="418"/>
      <c r="M24" s="418"/>
      <c r="N24" s="418"/>
      <c r="O24" s="418"/>
      <c r="P24" s="418"/>
      <c r="Q24" s="418"/>
      <c r="R24" s="418"/>
      <c r="S24" s="418"/>
    </row>
    <row r="25" spans="1:19" s="139" customFormat="1" ht="21.75" customHeight="1">
      <c r="C25" s="417"/>
      <c r="D25" s="417"/>
      <c r="E25" s="417"/>
      <c r="F25" s="929"/>
      <c r="G25" s="929"/>
      <c r="H25" s="274"/>
      <c r="I25" s="417"/>
      <c r="J25" s="417"/>
      <c r="K25" s="417"/>
      <c r="L25" s="417"/>
      <c r="M25" s="417"/>
      <c r="N25" s="417"/>
      <c r="O25" s="417"/>
      <c r="P25" s="418"/>
      <c r="Q25" s="418"/>
    </row>
    <row r="26" spans="1:19" s="139" customFormat="1" ht="21.75" customHeight="1" thickBot="1">
      <c r="A26" s="425" t="s">
        <v>434</v>
      </c>
      <c r="B26" s="417"/>
      <c r="C26" s="417"/>
      <c r="D26" s="417"/>
      <c r="E26" s="417"/>
      <c r="F26" s="929"/>
      <c r="G26" s="929"/>
      <c r="H26" s="274"/>
      <c r="I26" s="417"/>
      <c r="J26" s="417"/>
      <c r="K26" s="417"/>
      <c r="L26" s="417"/>
      <c r="M26" s="417"/>
      <c r="N26" s="417"/>
      <c r="O26" s="417"/>
      <c r="P26" s="418"/>
      <c r="Q26" s="418"/>
    </row>
    <row r="27" spans="1:19" s="139" customFormat="1" ht="22.5" customHeight="1" thickBot="1">
      <c r="B27" s="417"/>
      <c r="C27" s="417"/>
      <c r="D27" s="1750">
        <v>2020</v>
      </c>
      <c r="E27" s="1790"/>
      <c r="F27" s="1750">
        <v>2021</v>
      </c>
      <c r="G27" s="1790"/>
      <c r="H27" s="1791">
        <v>2022</v>
      </c>
      <c r="I27" s="1792"/>
      <c r="J27" s="274"/>
      <c r="K27" s="417"/>
      <c r="L27" s="417"/>
      <c r="M27" s="417"/>
      <c r="N27" s="417"/>
      <c r="O27" s="417"/>
      <c r="P27" s="417"/>
      <c r="Q27" s="417"/>
      <c r="R27" s="418"/>
      <c r="S27" s="418"/>
    </row>
    <row r="28" spans="1:19" s="139" customFormat="1" ht="30" customHeight="1" thickBot="1">
      <c r="B28" s="1702" t="s">
        <v>284</v>
      </c>
      <c r="C28" s="1701"/>
      <c r="D28" s="1589" t="s">
        <v>815</v>
      </c>
      <c r="E28" s="1591"/>
      <c r="F28" s="1589" t="s">
        <v>981</v>
      </c>
      <c r="G28" s="1591"/>
      <c r="H28" s="1782" t="s">
        <v>1133</v>
      </c>
      <c r="I28" s="1783"/>
      <c r="M28" s="245"/>
      <c r="N28" s="245"/>
      <c r="O28" s="245"/>
      <c r="P28" s="245"/>
      <c r="Q28" s="245"/>
      <c r="R28" s="245"/>
      <c r="S28" s="245"/>
    </row>
    <row r="29" spans="1:19" s="253" customFormat="1" ht="30" customHeight="1" thickBot="1">
      <c r="B29" s="1702" t="s">
        <v>367</v>
      </c>
      <c r="C29" s="1701"/>
      <c r="D29" s="1589" t="s">
        <v>811</v>
      </c>
      <c r="E29" s="1591"/>
      <c r="F29" s="1589" t="s">
        <v>982</v>
      </c>
      <c r="G29" s="1591"/>
      <c r="H29" s="1782" t="s">
        <v>1134</v>
      </c>
      <c r="I29" s="1783"/>
      <c r="J29" s="383"/>
      <c r="K29" s="767"/>
      <c r="M29" s="418"/>
      <c r="N29" s="418"/>
      <c r="O29" s="418"/>
      <c r="P29" s="418"/>
      <c r="Q29" s="418"/>
      <c r="R29" s="418"/>
      <c r="S29" s="418"/>
    </row>
    <row r="30" spans="1:19" s="253" customFormat="1" ht="30" customHeight="1" thickBot="1">
      <c r="B30" s="1702" t="s">
        <v>435</v>
      </c>
      <c r="C30" s="1701"/>
      <c r="D30" s="1589" t="s">
        <v>816</v>
      </c>
      <c r="E30" s="1591"/>
      <c r="F30" s="1589" t="s">
        <v>983</v>
      </c>
      <c r="G30" s="1591"/>
      <c r="H30" s="1782" t="s">
        <v>1135</v>
      </c>
      <c r="I30" s="1783"/>
      <c r="J30" s="383"/>
      <c r="K30" s="768"/>
      <c r="M30" s="418"/>
      <c r="N30" s="418"/>
      <c r="O30" s="418"/>
      <c r="P30" s="418"/>
      <c r="Q30" s="418"/>
      <c r="R30" s="418"/>
      <c r="S30" s="418"/>
    </row>
    <row r="31" spans="1:19" s="253" customFormat="1" ht="30" customHeight="1" thickBot="1">
      <c r="B31" s="1702" t="s">
        <v>416</v>
      </c>
      <c r="C31" s="1701"/>
      <c r="D31" s="1589" t="s">
        <v>984</v>
      </c>
      <c r="E31" s="1591"/>
      <c r="F31" s="1589" t="s">
        <v>984</v>
      </c>
      <c r="G31" s="1591"/>
      <c r="H31" s="1782" t="s">
        <v>1136</v>
      </c>
      <c r="I31" s="1783"/>
      <c r="J31" s="383"/>
      <c r="K31" s="768"/>
      <c r="L31" s="231"/>
      <c r="M31" s="418"/>
      <c r="N31" s="418"/>
      <c r="O31" s="418"/>
      <c r="P31" s="418"/>
      <c r="Q31" s="418"/>
      <c r="R31" s="418"/>
      <c r="S31" s="418"/>
    </row>
    <row r="32" spans="1:19" s="139" customFormat="1" ht="30" customHeight="1" thickBot="1">
      <c r="B32" s="1702" t="s">
        <v>1137</v>
      </c>
      <c r="C32" s="1701"/>
      <c r="D32" s="1589" t="s">
        <v>740</v>
      </c>
      <c r="E32" s="1591"/>
      <c r="F32" s="1589" t="s">
        <v>1138</v>
      </c>
      <c r="G32" s="1591"/>
      <c r="H32" s="1782" t="s">
        <v>1139</v>
      </c>
      <c r="I32" s="1783"/>
      <c r="J32" s="274"/>
      <c r="K32" s="767"/>
      <c r="L32" s="231"/>
      <c r="M32" s="386"/>
      <c r="N32" s="386"/>
      <c r="O32" s="234"/>
      <c r="P32" s="234"/>
      <c r="Q32" s="245"/>
      <c r="R32" s="245"/>
      <c r="S32" s="245"/>
    </row>
    <row r="33" spans="2:19" ht="30" customHeight="1" thickBot="1">
      <c r="B33" s="1702" t="s">
        <v>500</v>
      </c>
      <c r="C33" s="1701"/>
      <c r="D33" s="1589" t="s">
        <v>817</v>
      </c>
      <c r="E33" s="1591"/>
      <c r="F33" s="1589" t="s">
        <v>811</v>
      </c>
      <c r="G33" s="1591"/>
      <c r="H33" s="1782"/>
      <c r="I33" s="1783"/>
      <c r="J33" s="56"/>
      <c r="K33" s="231"/>
      <c r="L33" s="231"/>
      <c r="M33" s="231"/>
      <c r="N33" s="231"/>
      <c r="O33" s="246"/>
      <c r="P33" s="246"/>
      <c r="Q33" s="231"/>
      <c r="R33" s="231"/>
      <c r="S33" s="231"/>
    </row>
    <row r="34" spans="2:19" s="1161" customFormat="1" ht="30" customHeight="1" thickBot="1">
      <c r="B34" s="1702" t="s">
        <v>1140</v>
      </c>
      <c r="C34" s="1701"/>
      <c r="D34" s="1589" t="s">
        <v>740</v>
      </c>
      <c r="E34" s="1591"/>
      <c r="F34" s="1589" t="s">
        <v>740</v>
      </c>
      <c r="G34" s="1591"/>
      <c r="H34" s="1782" t="s">
        <v>1141</v>
      </c>
      <c r="I34" s="1783"/>
      <c r="J34" s="56"/>
      <c r="K34" s="231"/>
      <c r="L34" s="231"/>
      <c r="M34" s="231"/>
      <c r="N34" s="231"/>
      <c r="O34" s="246"/>
      <c r="P34" s="246"/>
      <c r="Q34" s="231"/>
      <c r="R34" s="231"/>
      <c r="S34" s="231"/>
    </row>
    <row r="35" spans="2:19" s="1161" customFormat="1" ht="30" customHeight="1" thickBot="1">
      <c r="B35" s="1498" t="s">
        <v>1142</v>
      </c>
      <c r="C35" s="1497"/>
      <c r="D35" s="1589" t="s">
        <v>740</v>
      </c>
      <c r="E35" s="1591"/>
      <c r="F35" s="1589">
        <v>147</v>
      </c>
      <c r="G35" s="1591"/>
      <c r="H35" s="1782">
        <v>89</v>
      </c>
      <c r="I35" s="1783"/>
      <c r="J35" s="56"/>
      <c r="K35" s="231"/>
      <c r="L35" s="231"/>
      <c r="M35" s="231"/>
      <c r="N35" s="231"/>
      <c r="O35" s="246"/>
      <c r="P35" s="246"/>
      <c r="Q35" s="231"/>
      <c r="R35" s="231"/>
      <c r="S35" s="231"/>
    </row>
    <row r="36" spans="2:19" ht="30" customHeight="1" thickBot="1">
      <c r="B36" s="1702" t="s">
        <v>436</v>
      </c>
      <c r="C36" s="1701"/>
      <c r="D36" s="1589" t="s">
        <v>740</v>
      </c>
      <c r="E36" s="1591"/>
      <c r="F36" s="1589" t="s">
        <v>740</v>
      </c>
      <c r="G36" s="1591"/>
      <c r="H36" s="1782" t="s">
        <v>740</v>
      </c>
      <c r="I36" s="1783"/>
      <c r="J36" s="56"/>
      <c r="K36" s="231"/>
      <c r="L36" s="231"/>
      <c r="M36" s="231"/>
      <c r="N36" s="231"/>
      <c r="O36" s="246"/>
      <c r="P36" s="246"/>
      <c r="Q36" s="231"/>
      <c r="R36" s="231"/>
      <c r="S36" s="231"/>
    </row>
    <row r="37" spans="2:19" ht="30" customHeight="1">
      <c r="B37" s="56"/>
      <c r="C37" s="56"/>
      <c r="D37" s="56"/>
      <c r="E37" s="297"/>
      <c r="F37" s="296"/>
      <c r="G37" s="56"/>
      <c r="H37" s="56"/>
      <c r="I37" s="231"/>
      <c r="J37" s="231"/>
      <c r="K37" s="231"/>
      <c r="L37" s="231"/>
      <c r="M37" s="246"/>
      <c r="N37" s="246"/>
      <c r="O37" s="231"/>
      <c r="P37" s="231"/>
      <c r="Q37" s="231"/>
    </row>
    <row r="38" spans="2:19" ht="11.25">
      <c r="B38" s="56"/>
      <c r="C38" s="56"/>
      <c r="D38" s="56"/>
      <c r="E38" s="297"/>
      <c r="F38" s="296"/>
      <c r="G38" s="56"/>
      <c r="H38" s="56"/>
      <c r="I38" s="231"/>
      <c r="J38" s="231"/>
      <c r="K38" s="231"/>
      <c r="L38" s="231"/>
      <c r="M38" s="246"/>
      <c r="N38" s="246"/>
      <c r="O38" s="231"/>
      <c r="P38" s="231"/>
      <c r="Q38" s="231"/>
    </row>
    <row r="39" spans="2:19" ht="11.25">
      <c r="B39" s="56"/>
      <c r="C39" s="56"/>
      <c r="D39" s="56"/>
      <c r="E39" s="297"/>
      <c r="F39" s="296"/>
      <c r="G39" s="56"/>
      <c r="H39" s="56"/>
      <c r="I39" s="231"/>
      <c r="J39" s="231"/>
      <c r="K39" s="231"/>
      <c r="L39" s="231"/>
      <c r="M39" s="246"/>
      <c r="N39" s="246"/>
      <c r="O39" s="231"/>
      <c r="P39" s="231"/>
      <c r="Q39" s="231"/>
    </row>
    <row r="40" spans="2:19" ht="11.25">
      <c r="B40" s="56"/>
      <c r="C40" s="56"/>
      <c r="D40" s="56"/>
      <c r="E40" s="297"/>
      <c r="F40" s="296"/>
      <c r="G40" s="56"/>
      <c r="H40" s="56"/>
      <c r="I40" s="231"/>
      <c r="J40" s="231"/>
      <c r="K40" s="231"/>
      <c r="L40" s="231"/>
      <c r="M40" s="246"/>
      <c r="N40" s="246"/>
      <c r="O40" s="231"/>
      <c r="P40" s="231"/>
      <c r="Q40" s="231"/>
    </row>
    <row r="41" spans="2:19" ht="11.25">
      <c r="B41" s="56"/>
      <c r="C41" s="56"/>
      <c r="D41" s="56"/>
      <c r="E41" s="297"/>
      <c r="F41" s="296"/>
      <c r="G41" s="56"/>
      <c r="H41" s="56"/>
      <c r="I41" s="231"/>
      <c r="J41" s="231"/>
      <c r="K41" s="231"/>
      <c r="L41" s="231"/>
      <c r="M41" s="246"/>
      <c r="N41" s="246"/>
      <c r="O41" s="231"/>
      <c r="P41" s="231"/>
      <c r="Q41" s="231"/>
    </row>
    <row r="42" spans="2:19" ht="12" thickBot="1">
      <c r="B42" s="56"/>
      <c r="C42" s="56"/>
      <c r="D42" s="56"/>
      <c r="E42" s="297"/>
      <c r="F42" s="296"/>
      <c r="G42" s="56"/>
      <c r="H42" s="56"/>
      <c r="I42" s="231"/>
      <c r="J42" s="231"/>
      <c r="K42" s="231"/>
      <c r="L42" s="231"/>
      <c r="M42" s="246"/>
      <c r="N42" s="246"/>
      <c r="O42" s="231"/>
      <c r="P42" s="231"/>
      <c r="Q42" s="231"/>
    </row>
    <row r="43" spans="2:19" ht="12" thickBot="1">
      <c r="B43" s="56"/>
      <c r="C43" s="56"/>
      <c r="D43" s="56"/>
      <c r="E43" s="297"/>
      <c r="F43" s="296"/>
      <c r="G43" s="56"/>
      <c r="H43" s="56"/>
      <c r="I43" s="56"/>
      <c r="J43" s="56"/>
      <c r="K43" s="384"/>
      <c r="L43" s="56"/>
      <c r="M43" s="295"/>
      <c r="N43" s="295"/>
    </row>
    <row r="44" spans="2:19" ht="11.25">
      <c r="B44" s="56"/>
      <c r="C44" s="56"/>
      <c r="D44" s="56"/>
      <c r="E44" s="297"/>
      <c r="F44" s="296"/>
      <c r="G44" s="56"/>
      <c r="H44" s="56"/>
      <c r="I44" s="56"/>
      <c r="J44" s="56"/>
      <c r="K44" s="285"/>
      <c r="L44" s="56"/>
      <c r="M44" s="295"/>
      <c r="N44" s="295"/>
    </row>
    <row r="45" spans="2:19" ht="11.25">
      <c r="B45" s="56"/>
      <c r="C45" s="56"/>
      <c r="D45" s="56"/>
      <c r="E45" s="297"/>
      <c r="F45" s="296"/>
      <c r="G45" s="56"/>
      <c r="H45" s="56"/>
      <c r="I45" s="56"/>
      <c r="J45" s="56"/>
      <c r="K45" s="285"/>
      <c r="L45" s="56"/>
      <c r="M45" s="295"/>
      <c r="N45" s="295"/>
    </row>
    <row r="46" spans="2:19" ht="11.25">
      <c r="B46" s="56"/>
      <c r="C46" s="56"/>
      <c r="D46" s="56"/>
      <c r="E46" s="297"/>
      <c r="F46" s="296"/>
      <c r="G46" s="56"/>
      <c r="H46" s="56"/>
      <c r="I46" s="56"/>
      <c r="J46" s="56"/>
      <c r="K46" s="285"/>
      <c r="L46" s="56"/>
      <c r="M46" s="295"/>
      <c r="N46" s="295"/>
    </row>
    <row r="47" spans="2:19" ht="11.25">
      <c r="B47" s="56"/>
      <c r="C47" s="56"/>
      <c r="D47" s="56"/>
      <c r="E47" s="297"/>
      <c r="F47" s="296"/>
      <c r="G47" s="56"/>
      <c r="H47" s="56"/>
      <c r="I47" s="56"/>
      <c r="J47" s="56"/>
      <c r="K47" s="285"/>
      <c r="L47" s="56"/>
      <c r="M47" s="295"/>
      <c r="N47" s="295"/>
    </row>
    <row r="48" spans="2:19" ht="11.25">
      <c r="B48" s="56"/>
      <c r="C48" s="56"/>
      <c r="D48" s="56"/>
      <c r="E48" s="297"/>
      <c r="F48" s="296"/>
      <c r="G48" s="56"/>
      <c r="H48" s="56"/>
      <c r="I48" s="56"/>
      <c r="J48" s="56"/>
      <c r="K48" s="285"/>
      <c r="L48" s="56"/>
      <c r="M48" s="295"/>
      <c r="N48" s="295"/>
    </row>
    <row r="49" spans="2:14" ht="11.25">
      <c r="B49" s="56"/>
      <c r="C49" s="56"/>
      <c r="D49" s="56"/>
      <c r="E49" s="297"/>
      <c r="F49" s="296"/>
      <c r="G49" s="56"/>
      <c r="H49" s="56"/>
      <c r="I49" s="56"/>
      <c r="J49" s="56"/>
      <c r="K49" s="285"/>
      <c r="L49" s="56"/>
      <c r="M49" s="295"/>
      <c r="N49" s="295"/>
    </row>
    <row r="50" spans="2:14" ht="18" hidden="1" customHeight="1">
      <c r="B50" s="56"/>
      <c r="C50" s="56"/>
      <c r="D50" s="56"/>
      <c r="E50" s="297"/>
      <c r="F50" s="296"/>
      <c r="G50" s="56"/>
      <c r="H50" s="56"/>
      <c r="I50" s="56"/>
      <c r="J50" s="56"/>
      <c r="K50" s="285"/>
      <c r="L50" s="56"/>
      <c r="M50" s="295"/>
      <c r="N50" s="295"/>
    </row>
    <row r="51" spans="2:14" ht="11.25">
      <c r="B51" s="56"/>
      <c r="C51" s="56"/>
      <c r="D51" s="56"/>
      <c r="E51" s="297"/>
      <c r="F51" s="296"/>
      <c r="G51" s="56"/>
      <c r="H51" s="56"/>
      <c r="I51" s="56"/>
      <c r="J51" s="56"/>
      <c r="K51" s="285"/>
      <c r="L51" s="56"/>
      <c r="M51" s="295"/>
      <c r="N51" s="295"/>
    </row>
    <row r="52" spans="2:14" ht="11.25">
      <c r="B52" s="56"/>
      <c r="C52" s="56"/>
      <c r="D52" s="56"/>
      <c r="E52" s="297"/>
      <c r="F52" s="296"/>
      <c r="G52" s="56"/>
      <c r="H52" s="56"/>
      <c r="I52" s="56"/>
      <c r="J52" s="56"/>
      <c r="K52" s="285"/>
      <c r="L52" s="56"/>
      <c r="M52" s="295"/>
      <c r="N52" s="295"/>
    </row>
    <row r="53" spans="2:14" ht="11.25">
      <c r="B53" s="56"/>
      <c r="C53" s="56"/>
      <c r="D53" s="56"/>
      <c r="E53" s="56"/>
      <c r="F53" s="56"/>
      <c r="G53" s="56"/>
      <c r="H53" s="56"/>
      <c r="I53" s="56"/>
      <c r="J53" s="56"/>
      <c r="K53" s="285"/>
      <c r="L53" s="56"/>
      <c r="M53" s="295"/>
      <c r="N53" s="295"/>
    </row>
    <row r="54" spans="2:14" ht="11.25">
      <c r="B54" s="56"/>
      <c r="C54" s="56"/>
      <c r="D54" s="56"/>
      <c r="E54" s="56"/>
      <c r="F54" s="56"/>
      <c r="G54" s="56"/>
      <c r="H54" s="56"/>
    </row>
    <row r="55" spans="2:14" ht="11.25">
      <c r="B55" s="56"/>
      <c r="C55" s="56"/>
      <c r="D55" s="56"/>
      <c r="E55" s="56"/>
      <c r="F55" s="56"/>
      <c r="G55" s="56"/>
      <c r="H55" s="56"/>
    </row>
    <row r="56" spans="2:14" ht="11.25">
      <c r="H56" s="56"/>
    </row>
  </sheetData>
  <mergeCells count="80">
    <mergeCell ref="B10:C10"/>
    <mergeCell ref="B11:C11"/>
    <mergeCell ref="B12:C12"/>
    <mergeCell ref="F16:G16"/>
    <mergeCell ref="F17:G17"/>
    <mergeCell ref="F19:G19"/>
    <mergeCell ref="F20:G20"/>
    <mergeCell ref="F21:G21"/>
    <mergeCell ref="F22:G22"/>
    <mergeCell ref="B17:C17"/>
    <mergeCell ref="B18:C18"/>
    <mergeCell ref="B19:C19"/>
    <mergeCell ref="B20:C20"/>
    <mergeCell ref="B21:C21"/>
    <mergeCell ref="D19:E19"/>
    <mergeCell ref="D20:E20"/>
    <mergeCell ref="D21:E21"/>
    <mergeCell ref="D22:E22"/>
    <mergeCell ref="H17:I17"/>
    <mergeCell ref="H18:I18"/>
    <mergeCell ref="F15:G15"/>
    <mergeCell ref="H15:I15"/>
    <mergeCell ref="B16:C16"/>
    <mergeCell ref="H16:I16"/>
    <mergeCell ref="F18:G18"/>
    <mergeCell ref="D15:E15"/>
    <mergeCell ref="D16:E16"/>
    <mergeCell ref="D17:E17"/>
    <mergeCell ref="D18:E18"/>
    <mergeCell ref="B23:C23"/>
    <mergeCell ref="B22:C22"/>
    <mergeCell ref="B36:C36"/>
    <mergeCell ref="B32:C32"/>
    <mergeCell ref="B33:C33"/>
    <mergeCell ref="B31:C31"/>
    <mergeCell ref="B30:C30"/>
    <mergeCell ref="B34:C34"/>
    <mergeCell ref="H28:I28"/>
    <mergeCell ref="H29:I29"/>
    <mergeCell ref="H27:I27"/>
    <mergeCell ref="B24:C24"/>
    <mergeCell ref="F29:G29"/>
    <mergeCell ref="B29:C29"/>
    <mergeCell ref="B28:C28"/>
    <mergeCell ref="D29:E29"/>
    <mergeCell ref="D23:E23"/>
    <mergeCell ref="D24:E24"/>
    <mergeCell ref="D27:E27"/>
    <mergeCell ref="D28:E28"/>
    <mergeCell ref="F23:G23"/>
    <mergeCell ref="F24:G24"/>
    <mergeCell ref="F27:G27"/>
    <mergeCell ref="F28:G28"/>
    <mergeCell ref="H33:I33"/>
    <mergeCell ref="H36:I36"/>
    <mergeCell ref="F30:G30"/>
    <mergeCell ref="F31:G31"/>
    <mergeCell ref="F32:G32"/>
    <mergeCell ref="F33:G33"/>
    <mergeCell ref="F36:G36"/>
    <mergeCell ref="H31:I31"/>
    <mergeCell ref="H32:I32"/>
    <mergeCell ref="H30:I30"/>
    <mergeCell ref="F34:G34"/>
    <mergeCell ref="H34:I34"/>
    <mergeCell ref="F35:G35"/>
    <mergeCell ref="H35:I35"/>
    <mergeCell ref="H19:I19"/>
    <mergeCell ref="H20:I20"/>
    <mergeCell ref="H21:I21"/>
    <mergeCell ref="H23:I23"/>
    <mergeCell ref="H24:I24"/>
    <mergeCell ref="H22:I22"/>
    <mergeCell ref="D30:E30"/>
    <mergeCell ref="D31:E31"/>
    <mergeCell ref="D32:E32"/>
    <mergeCell ref="D33:E33"/>
    <mergeCell ref="D36:E36"/>
    <mergeCell ref="D34:E34"/>
    <mergeCell ref="D35:E35"/>
  </mergeCells>
  <pageMargins left="0.11811023622047245" right="0.11811023622047245" top="0.35433070866141736" bottom="0.35433070866141736" header="0.31496062992125984" footer="0.31496062992125984"/>
  <pageSetup paperSize="9" scale="98"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185"/>
  <sheetViews>
    <sheetView showGridLines="0" topLeftCell="A4" zoomScaleNormal="100" workbookViewId="0">
      <selection activeCell="E77" sqref="E77"/>
    </sheetView>
  </sheetViews>
  <sheetFormatPr baseColWidth="10" defaultRowHeight="10.5"/>
  <cols>
    <col min="1" max="1" width="13.5" customWidth="1"/>
    <col min="2" max="2" width="70.1640625" style="587" customWidth="1"/>
    <col min="3" max="3" width="8.1640625" hidden="1" customWidth="1"/>
    <col min="4" max="4" width="6.6640625" customWidth="1"/>
    <col min="5" max="5" width="11.6640625" customWidth="1"/>
    <col min="6" max="6" width="78.5" customWidth="1"/>
  </cols>
  <sheetData>
    <row r="1" spans="1:17" ht="27" thickBot="1">
      <c r="A1" s="1799" t="s">
        <v>263</v>
      </c>
      <c r="B1" s="1799"/>
      <c r="C1" s="1799"/>
      <c r="D1" s="1799"/>
      <c r="E1" s="1799"/>
      <c r="F1" s="1799"/>
    </row>
    <row r="2" spans="1:17" ht="18.75" customHeight="1"/>
    <row r="3" spans="1:17" s="441" customFormat="1" ht="15" customHeight="1">
      <c r="A3" s="289" t="s">
        <v>259</v>
      </c>
      <c r="B3" s="583" t="s">
        <v>260</v>
      </c>
      <c r="C3" s="289"/>
      <c r="D3" s="289"/>
      <c r="E3" s="588" t="s">
        <v>86</v>
      </c>
      <c r="F3" s="589" t="s">
        <v>294</v>
      </c>
      <c r="G3" s="289"/>
      <c r="H3" s="289"/>
      <c r="I3" s="289"/>
      <c r="J3" s="289"/>
      <c r="K3" s="289"/>
      <c r="L3" s="289"/>
      <c r="M3" s="289"/>
      <c r="N3" s="289"/>
      <c r="O3" s="289"/>
      <c r="P3" s="289"/>
      <c r="Q3" s="289"/>
    </row>
    <row r="4" spans="1:17" s="441" customFormat="1" ht="12">
      <c r="A4" s="589" t="s">
        <v>539</v>
      </c>
      <c r="B4" s="583" t="s">
        <v>540</v>
      </c>
      <c r="C4" s="289"/>
      <c r="D4" s="289"/>
      <c r="F4" s="589" t="s">
        <v>297</v>
      </c>
      <c r="G4" s="289"/>
      <c r="H4" s="289"/>
      <c r="I4" s="289"/>
      <c r="J4" s="289"/>
      <c r="K4" s="289"/>
      <c r="L4" s="289"/>
      <c r="M4" s="289"/>
      <c r="N4" s="289"/>
      <c r="O4" s="289"/>
      <c r="P4" s="289"/>
      <c r="Q4" s="289"/>
    </row>
    <row r="5" spans="1:17" s="441" customFormat="1" ht="15" customHeight="1">
      <c r="A5" s="589" t="s">
        <v>9</v>
      </c>
      <c r="B5" s="583" t="s">
        <v>542</v>
      </c>
      <c r="C5" s="289"/>
      <c r="D5" s="289"/>
      <c r="F5" s="589" t="s">
        <v>295</v>
      </c>
      <c r="G5" s="289"/>
      <c r="H5" s="289"/>
      <c r="I5" s="289"/>
      <c r="J5" s="289"/>
      <c r="K5" s="289"/>
      <c r="L5" s="289"/>
      <c r="M5" s="289"/>
      <c r="N5" s="289"/>
      <c r="O5" s="289"/>
      <c r="P5" s="289"/>
      <c r="Q5" s="289"/>
    </row>
    <row r="6" spans="1:17" s="441" customFormat="1" ht="24">
      <c r="A6" s="591" t="s">
        <v>11</v>
      </c>
      <c r="B6" s="583" t="s">
        <v>541</v>
      </c>
      <c r="C6" s="289"/>
      <c r="D6" s="289"/>
      <c r="E6" s="588" t="s">
        <v>217</v>
      </c>
      <c r="F6" s="589" t="s">
        <v>543</v>
      </c>
      <c r="G6" s="289"/>
      <c r="H6" s="289"/>
      <c r="I6" s="289"/>
      <c r="J6" s="289"/>
      <c r="K6" s="289"/>
      <c r="L6" s="289"/>
      <c r="M6" s="289"/>
      <c r="N6" s="289"/>
      <c r="O6" s="289"/>
      <c r="P6" s="289"/>
      <c r="Q6" s="289"/>
    </row>
    <row r="7" spans="1:17" s="441" customFormat="1" ht="12">
      <c r="A7" s="289" t="s">
        <v>119</v>
      </c>
      <c r="B7" s="583" t="s">
        <v>218</v>
      </c>
      <c r="C7" s="289"/>
      <c r="D7" s="289"/>
      <c r="E7" s="289" t="s">
        <v>144</v>
      </c>
      <c r="F7" s="589" t="s">
        <v>255</v>
      </c>
      <c r="G7" s="289"/>
      <c r="H7" s="289"/>
      <c r="I7" s="289"/>
      <c r="J7" s="289"/>
      <c r="K7" s="289"/>
      <c r="L7" s="289"/>
      <c r="M7" s="289"/>
      <c r="N7" s="289"/>
      <c r="O7" s="289"/>
      <c r="P7" s="289"/>
      <c r="Q7" s="289"/>
    </row>
    <row r="8" spans="1:17" s="441" customFormat="1" ht="15" customHeight="1">
      <c r="A8" s="289" t="s">
        <v>257</v>
      </c>
      <c r="B8" s="583" t="s">
        <v>258</v>
      </c>
      <c r="C8" s="289"/>
      <c r="D8" s="289"/>
      <c r="E8" s="289" t="s">
        <v>253</v>
      </c>
      <c r="F8" s="589" t="s">
        <v>254</v>
      </c>
      <c r="G8" s="289"/>
      <c r="H8" s="289"/>
      <c r="I8" s="289"/>
      <c r="J8" s="289"/>
      <c r="K8" s="289"/>
      <c r="L8" s="289"/>
      <c r="M8" s="289"/>
      <c r="N8" s="289"/>
      <c r="O8" s="289"/>
      <c r="P8" s="289"/>
      <c r="Q8" s="289"/>
    </row>
    <row r="9" spans="1:17" s="441" customFormat="1" ht="15" customHeight="1">
      <c r="A9" s="589" t="s">
        <v>290</v>
      </c>
      <c r="B9" s="583" t="s">
        <v>291</v>
      </c>
      <c r="C9" s="289"/>
      <c r="D9" s="289"/>
      <c r="E9" s="289" t="s">
        <v>224</v>
      </c>
      <c r="F9" s="589" t="s">
        <v>232</v>
      </c>
      <c r="G9" s="289"/>
      <c r="H9" s="289"/>
      <c r="I9" s="289"/>
      <c r="J9" s="289"/>
      <c r="K9" s="289"/>
      <c r="L9" s="289"/>
      <c r="M9" s="289"/>
      <c r="N9" s="289"/>
      <c r="O9" s="289"/>
      <c r="P9" s="289"/>
      <c r="Q9" s="289"/>
    </row>
    <row r="10" spans="1:17" s="441" customFormat="1" ht="15" customHeight="1">
      <c r="A10" s="289" t="s">
        <v>25</v>
      </c>
      <c r="B10" s="583" t="s">
        <v>229</v>
      </c>
      <c r="C10" s="289"/>
      <c r="D10" s="289"/>
      <c r="E10" s="289" t="s">
        <v>14</v>
      </c>
      <c r="F10" s="589" t="s">
        <v>230</v>
      </c>
      <c r="G10" s="289"/>
      <c r="H10" s="289"/>
      <c r="I10" s="289"/>
      <c r="J10" s="289"/>
      <c r="K10" s="289"/>
      <c r="L10" s="289"/>
      <c r="M10" s="289"/>
      <c r="N10" s="289"/>
      <c r="O10" s="289"/>
      <c r="P10" s="289"/>
      <c r="Q10" s="289"/>
    </row>
    <row r="11" spans="1:17" s="441" customFormat="1" ht="15" customHeight="1">
      <c r="A11" s="289" t="s">
        <v>312</v>
      </c>
      <c r="B11" s="583" t="s">
        <v>266</v>
      </c>
      <c r="C11" s="289"/>
      <c r="D11" s="289"/>
      <c r="E11" s="289" t="s">
        <v>59</v>
      </c>
      <c r="F11" s="589" t="s">
        <v>238</v>
      </c>
      <c r="G11" s="289"/>
      <c r="H11" s="289"/>
      <c r="I11" s="289"/>
      <c r="J11" s="289"/>
      <c r="K11" s="289"/>
      <c r="L11" s="289"/>
      <c r="M11" s="289"/>
      <c r="N11" s="289"/>
      <c r="O11" s="289"/>
      <c r="P11" s="289"/>
      <c r="Q11" s="289"/>
    </row>
    <row r="12" spans="1:17" s="441" customFormat="1" ht="15" customHeight="1">
      <c r="A12" s="289"/>
      <c r="B12" s="583" t="s">
        <v>484</v>
      </c>
      <c r="C12" s="289"/>
      <c r="D12" s="289"/>
      <c r="E12" s="289" t="s">
        <v>36</v>
      </c>
      <c r="F12" s="589" t="s">
        <v>240</v>
      </c>
      <c r="G12" s="289"/>
      <c r="H12" s="289"/>
      <c r="I12" s="289"/>
      <c r="J12" s="289"/>
      <c r="K12" s="289"/>
      <c r="L12" s="289"/>
      <c r="M12" s="289"/>
      <c r="N12" s="289"/>
      <c r="O12" s="289"/>
      <c r="P12" s="289"/>
      <c r="Q12" s="289"/>
    </row>
    <row r="13" spans="1:17" s="441" customFormat="1" ht="15" customHeight="1">
      <c r="A13" s="289" t="s">
        <v>64</v>
      </c>
      <c r="B13" s="583" t="s">
        <v>231</v>
      </c>
      <c r="C13" s="289"/>
      <c r="D13" s="289"/>
      <c r="E13" s="289" t="s">
        <v>141</v>
      </c>
      <c r="F13" s="589" t="s">
        <v>248</v>
      </c>
      <c r="G13" s="289"/>
      <c r="H13" s="289"/>
      <c r="I13" s="289"/>
      <c r="J13" s="289"/>
      <c r="K13" s="289"/>
      <c r="L13" s="289"/>
      <c r="M13" s="289"/>
      <c r="N13" s="289"/>
      <c r="O13" s="289"/>
      <c r="P13" s="289"/>
      <c r="Q13" s="289"/>
    </row>
    <row r="14" spans="1:17" s="441" customFormat="1" ht="15" customHeight="1">
      <c r="A14" s="289" t="s">
        <v>131</v>
      </c>
      <c r="B14" s="583" t="s">
        <v>219</v>
      </c>
      <c r="C14" s="289"/>
      <c r="D14" s="289"/>
      <c r="E14" s="289" t="s">
        <v>142</v>
      </c>
      <c r="F14" s="589" t="s">
        <v>249</v>
      </c>
      <c r="G14" s="289"/>
      <c r="H14" s="289"/>
      <c r="I14" s="289"/>
      <c r="J14" s="289"/>
      <c r="K14" s="289"/>
      <c r="L14" s="289"/>
      <c r="M14" s="289"/>
      <c r="N14" s="289"/>
      <c r="O14" s="289"/>
      <c r="P14" s="289"/>
      <c r="Q14" s="289"/>
    </row>
    <row r="15" spans="1:17" s="441" customFormat="1" ht="15" customHeight="1">
      <c r="A15" s="289" t="s">
        <v>285</v>
      </c>
      <c r="B15" s="583" t="s">
        <v>286</v>
      </c>
      <c r="C15" s="289"/>
      <c r="D15" s="289"/>
      <c r="E15" s="289" t="s">
        <v>139</v>
      </c>
      <c r="F15" s="589" t="s">
        <v>247</v>
      </c>
      <c r="G15" s="289"/>
      <c r="H15" s="289"/>
      <c r="I15" s="289"/>
      <c r="J15" s="289"/>
      <c r="K15" s="289"/>
      <c r="L15" s="289"/>
      <c r="M15" s="289"/>
      <c r="N15" s="289"/>
      <c r="O15" s="289"/>
      <c r="P15" s="289"/>
      <c r="Q15" s="289"/>
    </row>
    <row r="16" spans="1:17" s="441" customFormat="1" ht="15" customHeight="1">
      <c r="A16" s="289" t="s">
        <v>287</v>
      </c>
      <c r="B16" s="583" t="s">
        <v>288</v>
      </c>
      <c r="C16" s="289"/>
      <c r="D16" s="289"/>
      <c r="E16" s="289" t="s">
        <v>143</v>
      </c>
      <c r="F16" s="589" t="s">
        <v>251</v>
      </c>
      <c r="G16" s="289"/>
      <c r="H16" s="289"/>
      <c r="I16" s="289"/>
      <c r="J16" s="289"/>
      <c r="K16" s="289"/>
      <c r="L16" s="289"/>
      <c r="M16" s="289"/>
      <c r="N16" s="289"/>
      <c r="O16" s="289"/>
      <c r="P16" s="289"/>
      <c r="Q16" s="289"/>
    </row>
    <row r="17" spans="1:17" s="441" customFormat="1" ht="15" customHeight="1">
      <c r="A17" s="289" t="s">
        <v>234</v>
      </c>
      <c r="B17" s="583" t="s">
        <v>235</v>
      </c>
      <c r="C17" s="289"/>
      <c r="D17" s="289"/>
      <c r="E17" s="289" t="s">
        <v>146</v>
      </c>
      <c r="F17" s="589" t="s">
        <v>252</v>
      </c>
      <c r="G17" s="289"/>
      <c r="H17" s="289"/>
      <c r="I17" s="289"/>
      <c r="J17" s="289"/>
      <c r="K17" s="289"/>
      <c r="L17" s="289"/>
      <c r="M17" s="289"/>
      <c r="N17" s="289"/>
      <c r="O17" s="289"/>
      <c r="P17" s="289"/>
      <c r="Q17" s="289"/>
    </row>
    <row r="18" spans="1:17" s="441" customFormat="1" ht="15" customHeight="1">
      <c r="A18" s="289" t="s">
        <v>48</v>
      </c>
      <c r="B18" s="583" t="s">
        <v>236</v>
      </c>
      <c r="C18" s="289"/>
      <c r="D18" s="289"/>
      <c r="E18" s="289" t="s">
        <v>289</v>
      </c>
      <c r="F18" s="589" t="s">
        <v>296</v>
      </c>
      <c r="G18" s="289"/>
      <c r="H18" s="289"/>
      <c r="I18" s="289"/>
      <c r="J18" s="289"/>
      <c r="K18" s="289"/>
      <c r="L18" s="289"/>
      <c r="M18" s="289"/>
      <c r="N18" s="289"/>
      <c r="O18" s="289"/>
      <c r="P18" s="289"/>
      <c r="Q18" s="289"/>
    </row>
    <row r="19" spans="1:17" s="441" customFormat="1" ht="15" customHeight="1">
      <c r="A19" s="289" t="s">
        <v>292</v>
      </c>
      <c r="B19" s="583" t="s">
        <v>293</v>
      </c>
      <c r="C19" s="289"/>
      <c r="D19" s="289"/>
      <c r="E19" s="289" t="s">
        <v>145</v>
      </c>
      <c r="F19" s="589" t="s">
        <v>256</v>
      </c>
      <c r="G19" s="289"/>
      <c r="H19" s="289"/>
      <c r="I19" s="289"/>
      <c r="J19" s="289"/>
      <c r="K19" s="289"/>
      <c r="L19" s="289"/>
      <c r="M19" s="289"/>
      <c r="N19" s="289"/>
      <c r="O19" s="289"/>
      <c r="P19" s="289"/>
      <c r="Q19" s="289"/>
    </row>
    <row r="20" spans="1:17" s="441" customFormat="1" ht="15" customHeight="1">
      <c r="A20" s="289" t="s">
        <v>536</v>
      </c>
      <c r="B20" s="583" t="s">
        <v>413</v>
      </c>
      <c r="C20" s="289"/>
      <c r="D20" s="289"/>
      <c r="E20" s="289" t="s">
        <v>58</v>
      </c>
      <c r="F20" s="589" t="s">
        <v>237</v>
      </c>
      <c r="G20" s="289"/>
      <c r="H20" s="289"/>
      <c r="I20" s="289"/>
      <c r="J20" s="289"/>
      <c r="K20" s="289"/>
      <c r="L20" s="289"/>
      <c r="M20" s="289"/>
      <c r="N20" s="289"/>
      <c r="O20" s="289"/>
      <c r="P20" s="289"/>
      <c r="Q20" s="289"/>
    </row>
    <row r="21" spans="1:17" s="441" customFormat="1" ht="15" customHeight="1">
      <c r="A21" s="289" t="s">
        <v>369</v>
      </c>
      <c r="B21" s="583" t="s">
        <v>537</v>
      </c>
      <c r="C21" s="289"/>
      <c r="D21" s="289"/>
      <c r="E21" s="289" t="s">
        <v>138</v>
      </c>
      <c r="F21" s="589" t="s">
        <v>246</v>
      </c>
      <c r="G21" s="289"/>
      <c r="H21" s="289"/>
      <c r="I21" s="289"/>
      <c r="J21" s="289"/>
      <c r="K21" s="289"/>
      <c r="L21" s="289"/>
      <c r="M21" s="289"/>
      <c r="N21" s="289"/>
      <c r="O21" s="289"/>
      <c r="P21" s="289"/>
      <c r="Q21" s="289"/>
    </row>
    <row r="22" spans="1:17" s="441" customFormat="1" ht="15" customHeight="1">
      <c r="A22" s="289" t="s">
        <v>165</v>
      </c>
      <c r="B22" s="583" t="s">
        <v>226</v>
      </c>
      <c r="C22" s="289"/>
      <c r="D22" s="289"/>
      <c r="E22" s="289" t="s">
        <v>140</v>
      </c>
      <c r="F22" s="589" t="s">
        <v>250</v>
      </c>
      <c r="G22" s="289"/>
      <c r="H22" s="289"/>
      <c r="I22" s="289"/>
      <c r="J22" s="289"/>
      <c r="K22" s="289"/>
      <c r="L22" s="289"/>
      <c r="M22" s="289"/>
      <c r="N22" s="289"/>
      <c r="O22" s="289"/>
      <c r="P22" s="289"/>
      <c r="Q22" s="289"/>
    </row>
    <row r="23" spans="1:17" s="441" customFormat="1" ht="15" customHeight="1">
      <c r="A23" s="289" t="s">
        <v>164</v>
      </c>
      <c r="B23" s="583" t="s">
        <v>227</v>
      </c>
      <c r="C23" s="289"/>
      <c r="D23" s="289"/>
      <c r="E23" s="289" t="s">
        <v>37</v>
      </c>
      <c r="F23" s="589" t="s">
        <v>239</v>
      </c>
      <c r="G23" s="289"/>
      <c r="H23" s="289"/>
      <c r="I23" s="289"/>
      <c r="J23" s="289"/>
      <c r="K23" s="289"/>
      <c r="L23" s="289"/>
      <c r="M23" s="289"/>
      <c r="N23" s="289"/>
      <c r="O23" s="289"/>
      <c r="P23" s="289"/>
      <c r="Q23" s="289"/>
    </row>
    <row r="24" spans="1:17" s="441" customFormat="1" ht="15" customHeight="1">
      <c r="A24" s="289" t="s">
        <v>223</v>
      </c>
      <c r="B24" s="583" t="s">
        <v>225</v>
      </c>
      <c r="C24" s="289"/>
      <c r="D24" s="289"/>
      <c r="E24" s="589" t="s">
        <v>10</v>
      </c>
      <c r="F24" s="589" t="s">
        <v>265</v>
      </c>
      <c r="G24" s="289"/>
      <c r="H24" s="289"/>
      <c r="I24" s="289"/>
      <c r="J24" s="289"/>
      <c r="K24" s="289"/>
      <c r="L24" s="289"/>
      <c r="M24" s="289"/>
      <c r="N24" s="289"/>
      <c r="O24" s="289"/>
      <c r="P24" s="289"/>
      <c r="Q24" s="289"/>
    </row>
    <row r="25" spans="1:17" s="441" customFormat="1" ht="15" customHeight="1">
      <c r="A25" s="289" t="s">
        <v>70</v>
      </c>
      <c r="B25" s="583" t="s">
        <v>228</v>
      </c>
      <c r="C25" s="289"/>
      <c r="D25" s="289"/>
      <c r="E25" s="589"/>
      <c r="F25" s="589" t="s">
        <v>264</v>
      </c>
      <c r="G25" s="289"/>
      <c r="H25" s="289"/>
      <c r="I25" s="289"/>
      <c r="J25" s="289"/>
      <c r="K25" s="289"/>
      <c r="L25" s="289"/>
      <c r="M25" s="289"/>
      <c r="N25" s="289"/>
      <c r="O25" s="289"/>
      <c r="P25" s="289"/>
      <c r="Q25" s="289"/>
    </row>
    <row r="26" spans="1:17" s="441" customFormat="1" ht="15" customHeight="1">
      <c r="A26" s="289" t="s">
        <v>132</v>
      </c>
      <c r="B26" s="583" t="s">
        <v>220</v>
      </c>
      <c r="C26" s="289"/>
      <c r="D26" s="289"/>
      <c r="E26" s="289" t="s">
        <v>241</v>
      </c>
      <c r="F26" s="589" t="s">
        <v>242</v>
      </c>
      <c r="G26" s="289"/>
      <c r="H26" s="289"/>
      <c r="I26" s="289"/>
      <c r="J26" s="289"/>
      <c r="K26" s="289"/>
      <c r="L26" s="289"/>
      <c r="M26" s="289"/>
      <c r="N26" s="289"/>
      <c r="O26" s="289"/>
      <c r="P26" s="289"/>
      <c r="Q26" s="289"/>
    </row>
    <row r="27" spans="1:17" s="441" customFormat="1" ht="12">
      <c r="A27" s="289" t="s">
        <v>221</v>
      </c>
      <c r="B27" s="583" t="s">
        <v>222</v>
      </c>
      <c r="C27" s="289"/>
      <c r="D27" s="289"/>
      <c r="E27" s="589" t="s">
        <v>13</v>
      </c>
      <c r="F27" s="589" t="s">
        <v>233</v>
      </c>
      <c r="G27" s="289"/>
      <c r="H27" s="289"/>
      <c r="I27" s="289"/>
      <c r="J27" s="289"/>
      <c r="K27" s="289"/>
      <c r="L27" s="289"/>
      <c r="M27" s="289"/>
      <c r="N27" s="289"/>
      <c r="O27" s="289"/>
      <c r="P27" s="289"/>
      <c r="Q27" s="289"/>
    </row>
    <row r="28" spans="1:17" s="441" customFormat="1" ht="12">
      <c r="A28" s="289" t="s">
        <v>544</v>
      </c>
      <c r="B28" s="583" t="s">
        <v>538</v>
      </c>
      <c r="C28" s="289"/>
      <c r="D28" s="289"/>
      <c r="E28" s="289" t="s">
        <v>261</v>
      </c>
      <c r="F28" s="589" t="s">
        <v>262</v>
      </c>
      <c r="G28" s="289"/>
      <c r="H28" s="289"/>
      <c r="I28" s="289"/>
      <c r="J28" s="289"/>
      <c r="K28" s="289"/>
      <c r="L28" s="289"/>
      <c r="M28" s="289"/>
      <c r="N28" s="289"/>
      <c r="O28" s="289"/>
      <c r="P28" s="289"/>
      <c r="Q28" s="289"/>
    </row>
    <row r="29" spans="1:17" s="441" customFormat="1" ht="12">
      <c r="A29" s="289" t="s">
        <v>336</v>
      </c>
      <c r="B29" s="583" t="s">
        <v>370</v>
      </c>
      <c r="C29" s="289"/>
      <c r="D29" s="289"/>
      <c r="E29" s="289" t="s">
        <v>244</v>
      </c>
      <c r="F29" s="589" t="s">
        <v>245</v>
      </c>
      <c r="G29" s="289"/>
      <c r="H29" s="289"/>
      <c r="I29" s="289"/>
      <c r="J29" s="289"/>
      <c r="K29" s="289"/>
      <c r="L29" s="289"/>
      <c r="M29" s="289"/>
      <c r="N29" s="289"/>
      <c r="O29" s="289"/>
      <c r="P29" s="289"/>
      <c r="Q29" s="289"/>
    </row>
    <row r="30" spans="1:17" s="441" customFormat="1" ht="12">
      <c r="A30" s="289" t="s">
        <v>637</v>
      </c>
      <c r="B30" s="724" t="s">
        <v>638</v>
      </c>
      <c r="C30" s="289"/>
      <c r="D30" s="289"/>
      <c r="G30" s="289"/>
      <c r="H30" s="289"/>
      <c r="I30" s="289"/>
      <c r="J30" s="289"/>
      <c r="K30" s="289"/>
      <c r="L30" s="289"/>
      <c r="M30" s="289"/>
      <c r="N30" s="289"/>
      <c r="O30" s="289"/>
      <c r="P30" s="289"/>
      <c r="Q30" s="289"/>
    </row>
    <row r="31" spans="1:17" s="441" customFormat="1" ht="12">
      <c r="A31" s="289" t="s">
        <v>91</v>
      </c>
      <c r="B31" s="583" t="s">
        <v>243</v>
      </c>
      <c r="C31" s="289"/>
      <c r="D31" s="289"/>
      <c r="E31" s="289"/>
      <c r="F31" s="289"/>
      <c r="G31" s="289"/>
      <c r="H31" s="289"/>
      <c r="I31" s="289"/>
      <c r="J31" s="289"/>
      <c r="K31" s="289"/>
      <c r="L31" s="289"/>
      <c r="M31" s="289"/>
      <c r="N31" s="289"/>
      <c r="O31" s="289"/>
      <c r="P31" s="289"/>
      <c r="Q31" s="289"/>
    </row>
    <row r="32" spans="1:17" s="441" customFormat="1" ht="12">
      <c r="B32" s="590"/>
      <c r="C32" s="289"/>
      <c r="D32" s="289"/>
      <c r="E32" s="289"/>
      <c r="F32" s="289"/>
      <c r="G32" s="289"/>
      <c r="H32" s="289"/>
      <c r="I32" s="289"/>
      <c r="J32" s="289"/>
      <c r="K32" s="289"/>
      <c r="L32" s="289"/>
      <c r="M32" s="289"/>
      <c r="N32" s="289"/>
      <c r="O32" s="289"/>
      <c r="P32" s="289"/>
      <c r="Q32" s="289"/>
    </row>
    <row r="33" spans="2:17" s="441" customFormat="1" ht="12">
      <c r="B33" s="590"/>
      <c r="C33" s="289"/>
      <c r="D33" s="289"/>
      <c r="E33" s="289"/>
      <c r="F33" s="289"/>
      <c r="G33" s="289"/>
      <c r="H33" s="289"/>
      <c r="I33" s="289"/>
      <c r="J33" s="289"/>
      <c r="K33" s="289"/>
      <c r="L33" s="289"/>
      <c r="M33" s="289"/>
      <c r="N33" s="289"/>
      <c r="O33" s="289"/>
      <c r="P33" s="289"/>
      <c r="Q33" s="289"/>
    </row>
    <row r="34" spans="2:17" s="441" customFormat="1" ht="12">
      <c r="B34" s="590"/>
      <c r="C34" s="289"/>
      <c r="D34" s="289"/>
      <c r="E34" s="289"/>
      <c r="F34" s="289"/>
      <c r="G34" s="289"/>
      <c r="H34" s="289"/>
      <c r="I34" s="289"/>
      <c r="J34" s="289"/>
      <c r="K34" s="289"/>
      <c r="L34" s="289"/>
      <c r="M34" s="289"/>
      <c r="N34" s="289"/>
      <c r="O34" s="289"/>
      <c r="P34" s="289"/>
      <c r="Q34" s="289"/>
    </row>
    <row r="35" spans="2:17" s="441" customFormat="1" ht="12">
      <c r="B35" s="590"/>
      <c r="C35" s="289"/>
      <c r="D35" s="289"/>
      <c r="E35" s="289"/>
      <c r="F35" s="289"/>
      <c r="G35" s="289"/>
      <c r="H35" s="289"/>
      <c r="I35" s="289"/>
      <c r="J35" s="289"/>
      <c r="K35" s="289"/>
      <c r="L35" s="289"/>
      <c r="M35" s="289"/>
      <c r="N35" s="289"/>
      <c r="O35" s="289"/>
      <c r="P35" s="289"/>
      <c r="Q35" s="289"/>
    </row>
    <row r="36" spans="2:17" s="441" customFormat="1" ht="12">
      <c r="B36" s="590"/>
      <c r="C36" s="289"/>
      <c r="D36" s="289"/>
      <c r="E36" s="289"/>
      <c r="F36" s="289"/>
      <c r="G36" s="289"/>
      <c r="H36" s="289"/>
      <c r="I36" s="289"/>
      <c r="J36" s="289"/>
      <c r="K36" s="289"/>
      <c r="L36" s="289"/>
      <c r="M36" s="289"/>
      <c r="N36" s="289"/>
      <c r="O36" s="289"/>
      <c r="P36" s="289"/>
      <c r="Q36" s="289"/>
    </row>
    <row r="37" spans="2:17" s="441" customFormat="1" ht="12">
      <c r="B37" s="590"/>
      <c r="C37" s="289"/>
      <c r="D37" s="289"/>
      <c r="E37" s="289"/>
      <c r="F37" s="289"/>
      <c r="G37" s="289"/>
      <c r="H37" s="289"/>
      <c r="I37" s="289"/>
      <c r="J37" s="289"/>
      <c r="K37" s="289"/>
      <c r="L37" s="289"/>
      <c r="M37" s="289"/>
      <c r="N37" s="289"/>
      <c r="O37" s="289"/>
      <c r="P37" s="289"/>
      <c r="Q37" s="289"/>
    </row>
    <row r="38" spans="2:17" s="441" customFormat="1" ht="12">
      <c r="B38" s="590"/>
      <c r="C38" s="289"/>
      <c r="D38" s="289"/>
      <c r="E38" s="289"/>
      <c r="F38" s="289"/>
      <c r="G38" s="289"/>
      <c r="H38" s="289"/>
      <c r="I38" s="289"/>
      <c r="J38" s="289"/>
      <c r="K38" s="289"/>
      <c r="L38" s="289"/>
      <c r="M38" s="289"/>
      <c r="N38" s="289"/>
      <c r="O38" s="289"/>
      <c r="P38" s="289"/>
      <c r="Q38" s="289"/>
    </row>
    <row r="39" spans="2:17" s="441" customFormat="1" ht="12">
      <c r="B39" s="590"/>
      <c r="C39" s="289"/>
      <c r="D39" s="289"/>
      <c r="E39" s="289"/>
      <c r="F39" s="289"/>
      <c r="G39" s="289"/>
      <c r="H39" s="289"/>
      <c r="I39" s="289"/>
      <c r="J39" s="289"/>
      <c r="K39" s="289"/>
      <c r="L39" s="289"/>
      <c r="M39" s="289"/>
      <c r="N39" s="289"/>
      <c r="O39" s="289"/>
      <c r="P39" s="289"/>
      <c r="Q39" s="289"/>
    </row>
    <row r="40" spans="2:17" s="441" customFormat="1" ht="12">
      <c r="B40" s="590"/>
      <c r="C40" s="289"/>
      <c r="D40" s="289"/>
      <c r="E40" s="289"/>
      <c r="F40" s="289"/>
      <c r="G40" s="289"/>
      <c r="H40" s="289"/>
      <c r="I40" s="289"/>
      <c r="J40" s="289"/>
      <c r="K40" s="289"/>
      <c r="L40" s="289"/>
      <c r="M40" s="289"/>
      <c r="N40" s="289"/>
      <c r="O40" s="289"/>
      <c r="P40" s="289"/>
      <c r="Q40" s="289"/>
    </row>
    <row r="41" spans="2:17" s="441" customFormat="1" ht="12">
      <c r="B41" s="590"/>
      <c r="C41" s="289"/>
      <c r="D41" s="289"/>
      <c r="E41" s="289"/>
      <c r="F41" s="289"/>
      <c r="G41" s="289"/>
      <c r="H41" s="289"/>
      <c r="I41" s="289"/>
      <c r="J41" s="289"/>
      <c r="K41" s="289"/>
      <c r="L41" s="289"/>
      <c r="M41" s="289"/>
      <c r="N41" s="289"/>
      <c r="O41" s="289"/>
      <c r="P41" s="289"/>
      <c r="Q41" s="289"/>
    </row>
    <row r="42" spans="2:17" s="441" customFormat="1" ht="12">
      <c r="B42" s="590"/>
      <c r="C42" s="289"/>
      <c r="D42" s="289"/>
      <c r="E42" s="289"/>
      <c r="F42" s="289"/>
      <c r="G42" s="289"/>
      <c r="H42" s="289"/>
      <c r="I42" s="289"/>
      <c r="J42" s="289"/>
      <c r="K42" s="289"/>
      <c r="L42" s="289"/>
      <c r="M42" s="289"/>
      <c r="N42" s="289"/>
      <c r="O42" s="289"/>
      <c r="P42" s="289"/>
      <c r="Q42" s="289"/>
    </row>
    <row r="43" spans="2:17" s="441" customFormat="1" ht="12">
      <c r="B43" s="590"/>
      <c r="C43" s="289"/>
      <c r="D43" s="289"/>
      <c r="E43" s="289"/>
      <c r="F43" s="289"/>
      <c r="G43" s="289"/>
      <c r="H43" s="289"/>
      <c r="I43" s="289"/>
      <c r="J43" s="289"/>
      <c r="K43" s="289"/>
      <c r="L43" s="289"/>
      <c r="M43" s="289"/>
      <c r="N43" s="289"/>
      <c r="O43" s="289"/>
      <c r="P43" s="289"/>
      <c r="Q43" s="289"/>
    </row>
    <row r="44" spans="2:17" s="441" customFormat="1" ht="12">
      <c r="B44" s="590"/>
      <c r="C44" s="289"/>
      <c r="D44" s="289"/>
      <c r="E44" s="289"/>
      <c r="F44" s="289"/>
      <c r="G44" s="289"/>
      <c r="H44" s="289"/>
      <c r="I44" s="289"/>
      <c r="J44" s="289"/>
      <c r="K44" s="289"/>
      <c r="L44" s="289"/>
      <c r="M44" s="289"/>
      <c r="N44" s="289"/>
      <c r="O44" s="289"/>
      <c r="P44" s="289"/>
      <c r="Q44" s="289"/>
    </row>
    <row r="45" spans="2:17" s="441" customFormat="1" ht="12">
      <c r="B45" s="590"/>
      <c r="C45" s="289"/>
      <c r="D45" s="289"/>
      <c r="E45" s="289"/>
      <c r="F45" s="289"/>
      <c r="G45" s="289"/>
      <c r="H45" s="289"/>
      <c r="I45" s="289"/>
      <c r="J45" s="289"/>
      <c r="K45" s="289"/>
      <c r="L45" s="289"/>
      <c r="M45" s="289"/>
      <c r="N45" s="289"/>
      <c r="O45" s="289"/>
      <c r="P45" s="289"/>
      <c r="Q45" s="289"/>
    </row>
    <row r="46" spans="2:17" s="441" customFormat="1" ht="12">
      <c r="B46" s="590"/>
      <c r="C46" s="289"/>
      <c r="D46" s="289"/>
      <c r="E46" s="289"/>
      <c r="F46" s="289"/>
      <c r="G46" s="289"/>
      <c r="H46" s="289"/>
      <c r="I46" s="289"/>
      <c r="J46" s="289"/>
      <c r="K46" s="289"/>
      <c r="L46" s="289"/>
      <c r="M46" s="289"/>
      <c r="N46" s="289"/>
      <c r="O46" s="289"/>
      <c r="P46" s="289"/>
      <c r="Q46" s="289"/>
    </row>
    <row r="47" spans="2:17" s="441" customFormat="1" ht="12">
      <c r="B47" s="590"/>
      <c r="C47" s="289"/>
      <c r="D47" s="289"/>
      <c r="E47" s="289"/>
      <c r="F47" s="289"/>
      <c r="G47" s="289"/>
      <c r="H47" s="289"/>
      <c r="I47" s="289"/>
      <c r="J47" s="289"/>
      <c r="K47" s="289"/>
      <c r="L47" s="289"/>
      <c r="M47" s="289"/>
      <c r="N47" s="289"/>
      <c r="O47" s="289"/>
      <c r="P47" s="289"/>
      <c r="Q47" s="289"/>
    </row>
    <row r="48" spans="2:17" s="441" customFormat="1" ht="12">
      <c r="B48" s="590"/>
      <c r="C48" s="289"/>
      <c r="D48" s="289"/>
      <c r="E48" s="289"/>
      <c r="F48" s="289"/>
      <c r="G48" s="289"/>
      <c r="H48" s="289"/>
      <c r="I48" s="289"/>
      <c r="J48" s="289"/>
      <c r="K48" s="289"/>
      <c r="L48" s="289"/>
      <c r="M48" s="289"/>
      <c r="N48" s="289"/>
      <c r="O48" s="289"/>
      <c r="P48" s="289"/>
      <c r="Q48" s="289"/>
    </row>
    <row r="49" spans="1:17" s="441" customFormat="1" ht="12">
      <c r="B49" s="590"/>
      <c r="C49" s="289"/>
      <c r="D49" s="289"/>
      <c r="E49" s="289"/>
      <c r="F49" s="289"/>
      <c r="G49" s="289"/>
      <c r="H49" s="289"/>
      <c r="I49" s="289"/>
      <c r="J49" s="289"/>
      <c r="K49" s="289"/>
      <c r="L49" s="289"/>
      <c r="M49" s="289"/>
      <c r="N49" s="289"/>
      <c r="O49" s="289"/>
      <c r="P49" s="289"/>
      <c r="Q49" s="289"/>
    </row>
    <row r="50" spans="1:17" s="441" customFormat="1" ht="12">
      <c r="B50" s="590"/>
      <c r="C50" s="289"/>
      <c r="D50" s="289"/>
      <c r="E50" s="289"/>
      <c r="F50" s="289"/>
      <c r="G50" s="289"/>
      <c r="H50" s="289"/>
      <c r="I50" s="289"/>
      <c r="J50" s="289"/>
      <c r="K50" s="289"/>
      <c r="L50" s="289"/>
      <c r="M50" s="289"/>
      <c r="N50" s="289"/>
      <c r="O50" s="289"/>
      <c r="P50" s="289"/>
      <c r="Q50" s="289"/>
    </row>
    <row r="51" spans="1:17" s="441" customFormat="1" ht="12">
      <c r="B51" s="590"/>
      <c r="C51" s="289"/>
      <c r="D51" s="289"/>
      <c r="E51" s="289"/>
      <c r="F51" s="289"/>
      <c r="G51" s="289"/>
      <c r="H51" s="289"/>
      <c r="I51" s="289"/>
      <c r="J51" s="289"/>
      <c r="K51" s="289"/>
      <c r="L51" s="289"/>
      <c r="M51" s="289"/>
      <c r="N51" s="289"/>
      <c r="O51" s="289"/>
      <c r="P51" s="289"/>
      <c r="Q51" s="289"/>
    </row>
    <row r="52" spans="1:17" s="441" customFormat="1" ht="12">
      <c r="B52" s="590"/>
      <c r="C52" s="289"/>
      <c r="D52" s="289"/>
      <c r="E52" s="289"/>
      <c r="F52" s="289"/>
      <c r="G52" s="289"/>
      <c r="H52" s="289"/>
      <c r="I52" s="289"/>
      <c r="J52" s="289"/>
      <c r="K52" s="289"/>
      <c r="L52" s="289"/>
      <c r="M52" s="289"/>
      <c r="N52" s="289"/>
      <c r="O52" s="289"/>
      <c r="P52" s="289"/>
      <c r="Q52" s="289"/>
    </row>
    <row r="53" spans="1:17" s="441" customFormat="1" ht="12">
      <c r="A53" s="289"/>
      <c r="B53" s="290"/>
      <c r="C53" s="289"/>
      <c r="D53" s="289"/>
      <c r="E53" s="289"/>
      <c r="F53" s="289"/>
      <c r="G53" s="289"/>
      <c r="H53" s="289"/>
      <c r="I53" s="289"/>
      <c r="J53" s="289"/>
      <c r="K53" s="289"/>
      <c r="L53" s="289"/>
      <c r="M53" s="289"/>
      <c r="N53" s="289"/>
      <c r="O53" s="289"/>
      <c r="P53" s="289"/>
      <c r="Q53" s="289"/>
    </row>
    <row r="54" spans="1:17" s="441" customFormat="1" ht="12">
      <c r="A54" s="289"/>
      <c r="B54" s="583"/>
      <c r="C54" s="289"/>
      <c r="D54" s="289"/>
      <c r="E54" s="289"/>
      <c r="F54" s="289"/>
      <c r="G54" s="289"/>
      <c r="H54" s="289"/>
      <c r="I54" s="289"/>
      <c r="J54" s="289"/>
      <c r="K54" s="289"/>
      <c r="L54" s="289"/>
      <c r="M54" s="289"/>
      <c r="N54" s="289"/>
      <c r="O54" s="289"/>
      <c r="P54" s="289"/>
      <c r="Q54" s="289"/>
    </row>
    <row r="55" spans="1:17" s="441" customFormat="1" ht="12">
      <c r="A55" s="289"/>
      <c r="B55" s="583"/>
      <c r="C55" s="289"/>
      <c r="D55" s="289"/>
      <c r="E55" s="289"/>
      <c r="F55" s="289"/>
      <c r="G55" s="289"/>
      <c r="H55" s="289"/>
      <c r="I55" s="289"/>
      <c r="J55" s="289"/>
      <c r="K55" s="289"/>
      <c r="L55" s="289"/>
      <c r="M55" s="289"/>
      <c r="N55" s="289"/>
      <c r="O55" s="289"/>
      <c r="P55" s="289"/>
      <c r="Q55" s="289"/>
    </row>
    <row r="56" spans="1:17" s="441" customFormat="1" ht="12">
      <c r="A56" s="289"/>
      <c r="B56" s="583"/>
      <c r="C56" s="289"/>
      <c r="D56" s="289"/>
      <c r="E56" s="289"/>
      <c r="F56" s="289"/>
      <c r="G56" s="289"/>
      <c r="H56" s="289"/>
      <c r="I56" s="289"/>
      <c r="J56" s="289"/>
      <c r="K56" s="289"/>
      <c r="L56" s="289"/>
      <c r="M56" s="289"/>
      <c r="N56" s="289"/>
      <c r="O56" s="289"/>
      <c r="P56" s="289"/>
      <c r="Q56" s="289"/>
    </row>
    <row r="57" spans="1:17" s="441" customFormat="1" ht="12">
      <c r="A57" s="289"/>
      <c r="B57" s="583"/>
      <c r="C57" s="289"/>
      <c r="D57" s="289"/>
      <c r="E57" s="289"/>
      <c r="F57" s="289"/>
      <c r="G57" s="289"/>
      <c r="H57" s="289"/>
      <c r="I57" s="289"/>
      <c r="J57" s="289"/>
      <c r="K57" s="289"/>
      <c r="L57" s="289"/>
      <c r="M57" s="289"/>
      <c r="N57" s="289"/>
      <c r="O57" s="289"/>
      <c r="P57" s="289"/>
      <c r="Q57" s="289"/>
    </row>
    <row r="58" spans="1:17" s="441" customFormat="1" ht="12">
      <c r="A58" s="289"/>
      <c r="B58" s="583"/>
      <c r="C58" s="289"/>
      <c r="D58" s="289"/>
      <c r="E58" s="289"/>
      <c r="F58" s="289"/>
      <c r="G58" s="289"/>
      <c r="H58" s="289"/>
      <c r="I58" s="289"/>
      <c r="J58" s="289"/>
      <c r="K58" s="289"/>
      <c r="L58" s="289"/>
      <c r="M58" s="289"/>
      <c r="N58" s="289"/>
      <c r="O58" s="289"/>
      <c r="P58" s="289"/>
      <c r="Q58" s="289"/>
    </row>
    <row r="59" spans="1:17" s="441" customFormat="1" ht="12">
      <c r="A59" s="289"/>
      <c r="B59" s="583"/>
      <c r="C59" s="289"/>
      <c r="D59" s="289"/>
      <c r="E59" s="289"/>
      <c r="F59" s="289"/>
      <c r="G59" s="289"/>
      <c r="H59" s="289"/>
      <c r="I59" s="289"/>
      <c r="J59" s="289"/>
      <c r="K59" s="289"/>
      <c r="L59" s="289"/>
      <c r="M59" s="289"/>
      <c r="N59" s="289"/>
      <c r="O59" s="289"/>
      <c r="P59" s="289"/>
      <c r="Q59" s="289"/>
    </row>
    <row r="60" spans="1:17" s="441" customFormat="1" ht="12">
      <c r="A60" s="289"/>
      <c r="B60" s="583"/>
      <c r="C60" s="289"/>
      <c r="D60" s="289"/>
      <c r="E60" s="289"/>
      <c r="F60" s="289"/>
      <c r="G60" s="289"/>
      <c r="H60" s="289"/>
      <c r="I60" s="289"/>
      <c r="J60" s="289"/>
      <c r="K60" s="289"/>
      <c r="L60" s="289"/>
      <c r="M60" s="289"/>
      <c r="N60" s="289"/>
      <c r="O60" s="289"/>
      <c r="P60" s="289"/>
      <c r="Q60" s="289"/>
    </row>
    <row r="61" spans="1:17" s="441" customFormat="1" ht="12">
      <c r="A61" s="289"/>
      <c r="B61" s="583"/>
      <c r="C61" s="289"/>
      <c r="D61" s="289"/>
      <c r="E61" s="289"/>
      <c r="F61" s="289"/>
      <c r="G61" s="289"/>
      <c r="H61" s="289"/>
      <c r="I61" s="289"/>
      <c r="J61" s="289"/>
      <c r="K61" s="289"/>
      <c r="L61" s="289"/>
      <c r="M61" s="289"/>
      <c r="N61" s="289"/>
      <c r="O61" s="289"/>
      <c r="P61" s="289"/>
      <c r="Q61" s="289"/>
    </row>
    <row r="62" spans="1:17" s="441" customFormat="1" ht="12">
      <c r="A62" s="289"/>
      <c r="B62" s="583"/>
      <c r="C62" s="289"/>
      <c r="D62" s="289"/>
      <c r="E62" s="289"/>
      <c r="F62" s="289"/>
      <c r="G62" s="289"/>
      <c r="H62" s="289"/>
      <c r="I62" s="289"/>
      <c r="J62" s="289"/>
      <c r="K62" s="289"/>
      <c r="L62" s="289"/>
      <c r="M62" s="289"/>
      <c r="N62" s="289"/>
      <c r="O62" s="289"/>
      <c r="P62" s="289"/>
      <c r="Q62" s="289"/>
    </row>
    <row r="63" spans="1:17" s="441" customFormat="1" ht="12">
      <c r="A63" s="289"/>
      <c r="B63" s="583"/>
      <c r="C63" s="289"/>
      <c r="D63" s="289"/>
      <c r="E63" s="289"/>
      <c r="F63" s="289"/>
      <c r="G63" s="289"/>
      <c r="H63" s="289"/>
      <c r="I63" s="289"/>
      <c r="J63" s="289"/>
      <c r="K63" s="289"/>
      <c r="L63" s="289"/>
      <c r="M63" s="289"/>
      <c r="N63" s="289"/>
      <c r="O63" s="289"/>
      <c r="P63" s="289"/>
      <c r="Q63" s="289"/>
    </row>
    <row r="64" spans="1:17" s="441" customFormat="1" ht="12">
      <c r="A64" s="289"/>
      <c r="B64" s="583"/>
      <c r="C64" s="289"/>
      <c r="D64" s="289"/>
      <c r="E64" s="289"/>
      <c r="F64" s="289"/>
      <c r="G64" s="289"/>
      <c r="H64" s="289"/>
      <c r="I64" s="289"/>
      <c r="J64" s="289"/>
      <c r="K64" s="289"/>
      <c r="L64" s="289"/>
      <c r="M64" s="289"/>
      <c r="N64" s="289"/>
      <c r="O64" s="289"/>
      <c r="P64" s="289"/>
      <c r="Q64" s="289"/>
    </row>
    <row r="65" spans="1:17" s="441" customFormat="1" ht="12">
      <c r="A65" s="289"/>
      <c r="B65" s="583"/>
      <c r="C65" s="289"/>
      <c r="D65" s="289"/>
      <c r="E65" s="289"/>
      <c r="F65" s="289"/>
      <c r="G65" s="289"/>
      <c r="H65" s="289"/>
      <c r="I65" s="289"/>
      <c r="J65" s="289"/>
      <c r="K65" s="289"/>
      <c r="L65" s="289"/>
      <c r="M65" s="289"/>
      <c r="N65" s="289"/>
      <c r="O65" s="289"/>
      <c r="P65" s="289"/>
      <c r="Q65" s="289"/>
    </row>
    <row r="66" spans="1:17" s="441" customFormat="1" ht="12">
      <c r="A66" s="289"/>
      <c r="B66" s="583"/>
      <c r="C66" s="289"/>
      <c r="D66" s="289"/>
      <c r="E66" s="289"/>
      <c r="F66" s="289"/>
      <c r="G66" s="289"/>
      <c r="H66" s="289"/>
      <c r="I66" s="289"/>
      <c r="J66" s="289"/>
      <c r="K66" s="289"/>
      <c r="L66" s="289"/>
      <c r="M66" s="289"/>
      <c r="N66" s="289"/>
      <c r="O66" s="289"/>
      <c r="P66" s="289"/>
      <c r="Q66" s="289"/>
    </row>
    <row r="67" spans="1:17" s="441" customFormat="1" ht="12">
      <c r="A67" s="289"/>
      <c r="B67" s="583"/>
      <c r="C67" s="289"/>
      <c r="D67" s="289"/>
      <c r="E67" s="289"/>
      <c r="F67" s="289"/>
      <c r="G67" s="289"/>
      <c r="H67" s="289"/>
      <c r="I67" s="289"/>
      <c r="J67" s="289"/>
      <c r="K67" s="289"/>
      <c r="L67" s="289"/>
      <c r="M67" s="289"/>
      <c r="N67" s="289"/>
      <c r="O67" s="289"/>
      <c r="P67" s="289"/>
      <c r="Q67" s="289"/>
    </row>
    <row r="68" spans="1:17" s="441" customFormat="1" ht="12">
      <c r="A68" s="289"/>
      <c r="B68" s="583"/>
      <c r="C68" s="289"/>
      <c r="D68" s="289"/>
      <c r="E68" s="289"/>
      <c r="F68" s="289"/>
      <c r="G68" s="289"/>
      <c r="H68" s="289"/>
      <c r="I68" s="289"/>
      <c r="J68" s="289"/>
      <c r="K68" s="289"/>
      <c r="L68" s="289"/>
      <c r="M68" s="289"/>
      <c r="N68" s="289"/>
      <c r="O68" s="289"/>
      <c r="P68" s="289"/>
      <c r="Q68" s="289"/>
    </row>
    <row r="69" spans="1:17" s="441" customFormat="1" ht="12">
      <c r="A69" s="289"/>
      <c r="B69" s="583"/>
      <c r="C69" s="289"/>
      <c r="D69" s="289"/>
      <c r="E69" s="289"/>
      <c r="F69" s="289"/>
      <c r="G69" s="289"/>
      <c r="H69" s="289"/>
      <c r="I69" s="289"/>
      <c r="J69" s="289"/>
      <c r="K69" s="289"/>
      <c r="L69" s="289"/>
      <c r="M69" s="289"/>
      <c r="N69" s="289"/>
      <c r="O69" s="289"/>
      <c r="P69" s="289"/>
      <c r="Q69" s="289"/>
    </row>
    <row r="70" spans="1:17" s="441" customFormat="1" ht="12">
      <c r="A70" s="289"/>
      <c r="B70" s="583"/>
      <c r="C70" s="289"/>
      <c r="D70" s="289"/>
      <c r="E70" s="289"/>
      <c r="F70" s="289"/>
      <c r="G70" s="289"/>
      <c r="H70" s="289"/>
      <c r="I70" s="289"/>
      <c r="J70" s="289"/>
      <c r="K70" s="289"/>
      <c r="L70" s="289"/>
      <c r="M70" s="289"/>
      <c r="N70" s="289"/>
      <c r="O70" s="289"/>
      <c r="P70" s="289"/>
      <c r="Q70" s="289"/>
    </row>
    <row r="71" spans="1:17" s="441" customFormat="1" ht="12">
      <c r="A71" s="289"/>
      <c r="B71" s="583"/>
      <c r="C71" s="289"/>
      <c r="D71" s="289"/>
      <c r="E71" s="289"/>
      <c r="F71" s="289"/>
      <c r="G71" s="289"/>
      <c r="H71" s="289"/>
      <c r="I71" s="289"/>
      <c r="J71" s="289"/>
      <c r="K71" s="289"/>
      <c r="L71" s="289"/>
      <c r="M71" s="289"/>
      <c r="N71" s="289"/>
      <c r="O71" s="289"/>
      <c r="P71" s="289"/>
      <c r="Q71" s="289"/>
    </row>
    <row r="72" spans="1:17" s="441" customFormat="1" ht="12">
      <c r="A72" s="289"/>
      <c r="B72" s="583"/>
      <c r="C72" s="289"/>
      <c r="D72" s="289"/>
      <c r="E72" s="289"/>
      <c r="F72" s="289"/>
      <c r="G72" s="289"/>
      <c r="H72" s="289"/>
      <c r="I72" s="289"/>
      <c r="J72" s="289"/>
      <c r="K72" s="289"/>
      <c r="L72" s="289"/>
      <c r="M72" s="289"/>
      <c r="N72" s="289"/>
      <c r="O72" s="289"/>
      <c r="P72" s="289"/>
      <c r="Q72" s="289"/>
    </row>
    <row r="73" spans="1:17" s="441" customFormat="1" ht="12">
      <c r="A73" s="289"/>
      <c r="B73" s="583"/>
      <c r="C73" s="289"/>
      <c r="D73" s="289"/>
      <c r="E73" s="289"/>
      <c r="F73" s="289"/>
      <c r="G73" s="289"/>
      <c r="H73" s="289"/>
      <c r="I73" s="289"/>
      <c r="J73" s="289"/>
      <c r="K73" s="289"/>
      <c r="L73" s="289"/>
      <c r="M73" s="289"/>
      <c r="N73" s="289"/>
      <c r="O73" s="289"/>
      <c r="P73" s="289"/>
      <c r="Q73" s="289"/>
    </row>
    <row r="74" spans="1:17" s="441" customFormat="1" ht="12">
      <c r="A74" s="289"/>
      <c r="B74" s="583"/>
      <c r="C74" s="289"/>
      <c r="D74" s="289"/>
      <c r="E74" s="289"/>
      <c r="F74" s="289"/>
      <c r="G74" s="289"/>
      <c r="H74" s="289"/>
      <c r="I74" s="289"/>
      <c r="J74" s="289"/>
      <c r="K74" s="289"/>
      <c r="L74" s="289"/>
      <c r="M74" s="289"/>
      <c r="N74" s="289"/>
      <c r="O74" s="289"/>
      <c r="P74" s="289"/>
      <c r="Q74" s="289"/>
    </row>
    <row r="75" spans="1:17" s="441" customFormat="1" ht="12">
      <c r="A75" s="289"/>
      <c r="B75" s="583"/>
      <c r="C75" s="289"/>
      <c r="D75" s="289"/>
      <c r="E75" s="289"/>
      <c r="F75" s="289"/>
      <c r="G75" s="289"/>
      <c r="H75" s="289"/>
      <c r="I75" s="289"/>
      <c r="J75" s="289"/>
      <c r="K75" s="289"/>
      <c r="L75" s="289"/>
      <c r="M75" s="289"/>
      <c r="N75" s="289"/>
      <c r="O75" s="289"/>
      <c r="P75" s="289"/>
      <c r="Q75" s="289"/>
    </row>
    <row r="76" spans="1:17" s="441" customFormat="1" ht="12">
      <c r="A76" s="289"/>
      <c r="B76" s="583"/>
      <c r="C76" s="289"/>
      <c r="D76" s="289"/>
      <c r="E76" s="289"/>
      <c r="F76" s="289"/>
      <c r="G76" s="289"/>
      <c r="H76" s="289"/>
      <c r="I76" s="289"/>
      <c r="J76" s="289"/>
      <c r="K76" s="289"/>
      <c r="L76" s="289"/>
      <c r="M76" s="289"/>
      <c r="N76" s="289"/>
      <c r="O76" s="289"/>
      <c r="P76" s="289"/>
      <c r="Q76" s="289"/>
    </row>
    <row r="77" spans="1:17" s="441" customFormat="1" ht="12">
      <c r="A77" s="289"/>
      <c r="B77" s="583"/>
      <c r="C77" s="289"/>
      <c r="D77" s="289"/>
      <c r="E77" s="289"/>
      <c r="F77" s="289"/>
      <c r="G77" s="289"/>
      <c r="H77" s="289"/>
      <c r="I77" s="289"/>
      <c r="J77" s="289"/>
      <c r="K77" s="289"/>
      <c r="L77" s="289"/>
      <c r="M77" s="289"/>
      <c r="N77" s="289"/>
      <c r="O77" s="289"/>
      <c r="P77" s="289"/>
      <c r="Q77" s="289"/>
    </row>
    <row r="78" spans="1:17" s="441" customFormat="1" ht="12">
      <c r="A78" s="289"/>
      <c r="B78" s="583"/>
      <c r="C78" s="289"/>
      <c r="D78" s="289"/>
      <c r="E78" s="289"/>
      <c r="F78" s="289"/>
      <c r="G78" s="289"/>
      <c r="H78" s="289"/>
      <c r="I78" s="289"/>
      <c r="J78" s="289"/>
      <c r="K78" s="289"/>
      <c r="L78" s="289"/>
      <c r="M78" s="289"/>
      <c r="N78" s="289"/>
      <c r="O78" s="289"/>
      <c r="P78" s="289"/>
      <c r="Q78" s="289"/>
    </row>
    <row r="79" spans="1:17" s="441" customFormat="1" ht="12">
      <c r="A79" s="289"/>
      <c r="B79" s="583"/>
      <c r="C79" s="289"/>
      <c r="D79" s="289"/>
      <c r="E79" s="289"/>
      <c r="F79" s="289"/>
      <c r="G79" s="289"/>
      <c r="H79" s="289"/>
      <c r="I79" s="289"/>
      <c r="J79" s="289"/>
      <c r="K79" s="289"/>
      <c r="L79" s="289"/>
      <c r="M79" s="289"/>
      <c r="N79" s="289"/>
      <c r="O79" s="289"/>
      <c r="P79" s="289"/>
      <c r="Q79" s="289"/>
    </row>
    <row r="80" spans="1:17" s="441" customFormat="1" ht="12">
      <c r="A80" s="289"/>
      <c r="B80" s="583"/>
      <c r="C80" s="289"/>
      <c r="D80" s="289"/>
      <c r="E80" s="289"/>
      <c r="F80" s="289"/>
      <c r="G80" s="289"/>
      <c r="H80" s="289"/>
      <c r="I80" s="289"/>
      <c r="J80" s="289"/>
      <c r="K80" s="289"/>
      <c r="L80" s="289"/>
      <c r="M80" s="289"/>
      <c r="N80" s="289"/>
      <c r="O80" s="289"/>
      <c r="P80" s="289"/>
      <c r="Q80" s="289"/>
    </row>
    <row r="81" spans="1:17" s="441" customFormat="1" ht="12">
      <c r="A81" s="289"/>
      <c r="B81" s="583"/>
      <c r="C81" s="289"/>
      <c r="D81" s="289"/>
      <c r="E81" s="289"/>
      <c r="F81" s="289"/>
      <c r="G81" s="289"/>
      <c r="H81" s="289"/>
      <c r="I81" s="289"/>
      <c r="J81" s="289"/>
      <c r="K81" s="289"/>
      <c r="L81" s="289"/>
      <c r="M81" s="289"/>
      <c r="N81" s="289"/>
      <c r="O81" s="289"/>
      <c r="P81" s="289"/>
      <c r="Q81" s="289"/>
    </row>
    <row r="82" spans="1:17" ht="12.75">
      <c r="A82" s="175"/>
      <c r="B82" s="586"/>
      <c r="C82" s="175"/>
      <c r="D82" s="175"/>
      <c r="E82" s="175"/>
      <c r="F82" s="175"/>
      <c r="G82" s="175"/>
      <c r="H82" s="175"/>
      <c r="I82" s="175"/>
      <c r="J82" s="175"/>
      <c r="K82" s="175"/>
      <c r="L82" s="175"/>
      <c r="M82" s="175"/>
      <c r="N82" s="175"/>
      <c r="O82" s="175"/>
      <c r="P82" s="175"/>
      <c r="Q82" s="175"/>
    </row>
    <row r="83" spans="1:17" ht="12.75">
      <c r="A83" s="175"/>
      <c r="B83" s="586"/>
      <c r="C83" s="175"/>
      <c r="D83" s="175"/>
      <c r="E83" s="175"/>
      <c r="F83" s="175"/>
      <c r="G83" s="175"/>
      <c r="H83" s="175"/>
      <c r="I83" s="175"/>
      <c r="J83" s="175"/>
      <c r="K83" s="175"/>
      <c r="L83" s="175"/>
      <c r="M83" s="175"/>
      <c r="N83" s="175"/>
      <c r="O83" s="175"/>
      <c r="P83" s="175"/>
      <c r="Q83" s="175"/>
    </row>
    <row r="84" spans="1:17" ht="12.75">
      <c r="A84" s="175"/>
      <c r="B84" s="586"/>
      <c r="C84" s="175"/>
      <c r="D84" s="175"/>
      <c r="E84" s="175"/>
      <c r="F84" s="175"/>
      <c r="G84" s="175"/>
      <c r="H84" s="175"/>
      <c r="I84" s="175"/>
      <c r="J84" s="175"/>
      <c r="K84" s="175"/>
      <c r="L84" s="175"/>
      <c r="M84" s="175"/>
      <c r="N84" s="175"/>
      <c r="O84" s="175"/>
      <c r="P84" s="175"/>
      <c r="Q84" s="175"/>
    </row>
    <row r="85" spans="1:17" ht="12.75">
      <c r="A85" s="175"/>
      <c r="B85" s="586"/>
      <c r="C85" s="175"/>
      <c r="D85" s="175"/>
      <c r="E85" s="175"/>
      <c r="F85" s="175"/>
      <c r="G85" s="175"/>
      <c r="H85" s="175"/>
      <c r="I85" s="175"/>
      <c r="J85" s="175"/>
      <c r="K85" s="175"/>
      <c r="L85" s="175"/>
      <c r="M85" s="175"/>
      <c r="N85" s="175"/>
      <c r="O85" s="175"/>
      <c r="P85" s="175"/>
      <c r="Q85" s="175"/>
    </row>
    <row r="86" spans="1:17" ht="12.75">
      <c r="A86" s="175"/>
      <c r="B86" s="586"/>
      <c r="C86" s="175"/>
      <c r="D86" s="175"/>
      <c r="E86" s="175"/>
      <c r="F86" s="175"/>
      <c r="G86" s="175"/>
      <c r="H86" s="175"/>
      <c r="I86" s="175"/>
      <c r="J86" s="175"/>
      <c r="K86" s="175"/>
      <c r="L86" s="175"/>
      <c r="M86" s="175"/>
      <c r="N86" s="175"/>
      <c r="O86" s="175"/>
      <c r="P86" s="175"/>
      <c r="Q86" s="175"/>
    </row>
    <row r="87" spans="1:17" ht="12.75">
      <c r="A87" s="175"/>
      <c r="B87" s="586"/>
      <c r="C87" s="175"/>
      <c r="D87" s="175"/>
      <c r="E87" s="175"/>
      <c r="F87" s="175"/>
      <c r="G87" s="175"/>
      <c r="H87" s="175"/>
      <c r="I87" s="175"/>
      <c r="J87" s="175"/>
      <c r="K87" s="175"/>
      <c r="L87" s="175"/>
      <c r="M87" s="175"/>
      <c r="N87" s="175"/>
      <c r="O87" s="175"/>
      <c r="P87" s="175"/>
      <c r="Q87" s="175"/>
    </row>
    <row r="88" spans="1:17" ht="12.75">
      <c r="A88" s="175"/>
      <c r="B88" s="586"/>
      <c r="C88" s="175"/>
      <c r="D88" s="175"/>
      <c r="E88" s="175"/>
      <c r="F88" s="175"/>
      <c r="G88" s="175"/>
      <c r="H88" s="175"/>
      <c r="I88" s="175"/>
      <c r="J88" s="175"/>
      <c r="K88" s="175"/>
      <c r="L88" s="175"/>
      <c r="M88" s="175"/>
      <c r="N88" s="175"/>
      <c r="O88" s="175"/>
      <c r="P88" s="175"/>
      <c r="Q88" s="175"/>
    </row>
    <row r="89" spans="1:17" ht="12.75">
      <c r="A89" s="175"/>
      <c r="B89" s="586"/>
      <c r="C89" s="175"/>
      <c r="D89" s="175"/>
      <c r="E89" s="175"/>
      <c r="F89" s="175"/>
      <c r="G89" s="175"/>
      <c r="H89" s="175"/>
      <c r="I89" s="175"/>
      <c r="J89" s="175"/>
      <c r="K89" s="175"/>
      <c r="L89" s="175"/>
      <c r="M89" s="175"/>
      <c r="N89" s="175"/>
      <c r="O89" s="175"/>
      <c r="P89" s="175"/>
      <c r="Q89" s="175"/>
    </row>
    <row r="90" spans="1:17" ht="12.75">
      <c r="A90" s="175"/>
      <c r="B90" s="586"/>
      <c r="C90" s="175"/>
      <c r="D90" s="175"/>
      <c r="E90" s="175"/>
      <c r="F90" s="175"/>
      <c r="G90" s="175"/>
      <c r="H90" s="175"/>
      <c r="I90" s="175"/>
      <c r="J90" s="175"/>
      <c r="K90" s="175"/>
      <c r="L90" s="175"/>
      <c r="M90" s="175"/>
      <c r="N90" s="175"/>
      <c r="O90" s="175"/>
      <c r="P90" s="175"/>
      <c r="Q90" s="175"/>
    </row>
    <row r="91" spans="1:17" ht="12.75">
      <c r="A91" s="175"/>
      <c r="B91" s="586"/>
      <c r="C91" s="175"/>
      <c r="D91" s="175"/>
      <c r="E91" s="175"/>
      <c r="F91" s="175"/>
      <c r="G91" s="175"/>
      <c r="H91" s="175"/>
      <c r="I91" s="175"/>
      <c r="J91" s="175"/>
      <c r="K91" s="175"/>
      <c r="L91" s="175"/>
      <c r="M91" s="175"/>
      <c r="N91" s="175"/>
      <c r="O91" s="175"/>
      <c r="P91" s="175"/>
      <c r="Q91" s="175"/>
    </row>
    <row r="92" spans="1:17" ht="12.75">
      <c r="A92" s="175"/>
      <c r="B92" s="586"/>
      <c r="C92" s="175"/>
      <c r="D92" s="175"/>
      <c r="E92" s="175"/>
      <c r="F92" s="175"/>
      <c r="G92" s="175"/>
      <c r="H92" s="175"/>
      <c r="I92" s="175"/>
      <c r="J92" s="175"/>
      <c r="K92" s="175"/>
      <c r="L92" s="175"/>
      <c r="M92" s="175"/>
      <c r="N92" s="175"/>
      <c r="O92" s="175"/>
      <c r="P92" s="175"/>
      <c r="Q92" s="175"/>
    </row>
    <row r="93" spans="1:17" ht="12.75">
      <c r="A93" s="175"/>
      <c r="B93" s="586"/>
      <c r="C93" s="175"/>
      <c r="D93" s="175"/>
      <c r="E93" s="175"/>
      <c r="F93" s="175"/>
      <c r="G93" s="175"/>
      <c r="H93" s="175"/>
      <c r="I93" s="175"/>
      <c r="J93" s="175"/>
      <c r="K93" s="175"/>
      <c r="L93" s="175"/>
      <c r="M93" s="175"/>
      <c r="N93" s="175"/>
      <c r="O93" s="175"/>
      <c r="P93" s="175"/>
      <c r="Q93" s="175"/>
    </row>
    <row r="94" spans="1:17" ht="12.75">
      <c r="A94" s="175"/>
      <c r="B94" s="586"/>
      <c r="C94" s="175"/>
      <c r="D94" s="175"/>
      <c r="E94" s="175"/>
      <c r="F94" s="175"/>
      <c r="G94" s="175"/>
      <c r="H94" s="175"/>
      <c r="I94" s="175"/>
      <c r="J94" s="175"/>
      <c r="K94" s="175"/>
      <c r="L94" s="175"/>
      <c r="M94" s="175"/>
      <c r="N94" s="175"/>
      <c r="O94" s="175"/>
      <c r="P94" s="175"/>
      <c r="Q94" s="175"/>
    </row>
    <row r="95" spans="1:17" ht="12.75">
      <c r="A95" s="175"/>
      <c r="B95" s="586"/>
      <c r="C95" s="175"/>
      <c r="D95" s="175"/>
      <c r="E95" s="175"/>
      <c r="F95" s="175"/>
      <c r="G95" s="175"/>
      <c r="H95" s="175"/>
      <c r="I95" s="175"/>
      <c r="J95" s="175"/>
      <c r="K95" s="175"/>
      <c r="L95" s="175"/>
      <c r="M95" s="175"/>
      <c r="N95" s="175"/>
      <c r="O95" s="175"/>
      <c r="P95" s="175"/>
      <c r="Q95" s="175"/>
    </row>
    <row r="96" spans="1:17" ht="12.75">
      <c r="A96" s="175"/>
      <c r="B96" s="586"/>
      <c r="C96" s="175"/>
      <c r="D96" s="175"/>
      <c r="E96" s="175"/>
      <c r="F96" s="175"/>
      <c r="G96" s="175"/>
      <c r="H96" s="175"/>
      <c r="I96" s="175"/>
      <c r="J96" s="175"/>
      <c r="K96" s="175"/>
      <c r="L96" s="175"/>
      <c r="M96" s="175"/>
      <c r="N96" s="175"/>
      <c r="O96" s="175"/>
      <c r="P96" s="175"/>
      <c r="Q96" s="175"/>
    </row>
    <row r="97" spans="1:17" ht="12.75">
      <c r="A97" s="175"/>
      <c r="B97" s="586"/>
      <c r="C97" s="175"/>
      <c r="D97" s="175"/>
      <c r="E97" s="175"/>
      <c r="F97" s="175"/>
      <c r="G97" s="175"/>
      <c r="H97" s="175"/>
      <c r="I97" s="175"/>
      <c r="J97" s="175"/>
      <c r="K97" s="175"/>
      <c r="L97" s="175"/>
      <c r="M97" s="175"/>
      <c r="N97" s="175"/>
      <c r="O97" s="175"/>
      <c r="P97" s="175"/>
      <c r="Q97" s="175"/>
    </row>
    <row r="98" spans="1:17" ht="12.75">
      <c r="A98" s="175"/>
      <c r="B98" s="586"/>
      <c r="C98" s="175"/>
      <c r="D98" s="175"/>
      <c r="E98" s="175"/>
      <c r="F98" s="175"/>
      <c r="G98" s="175"/>
      <c r="H98" s="175"/>
      <c r="I98" s="175"/>
      <c r="J98" s="175"/>
      <c r="K98" s="175"/>
      <c r="L98" s="175"/>
      <c r="M98" s="175"/>
      <c r="N98" s="175"/>
      <c r="O98" s="175"/>
      <c r="P98" s="175"/>
      <c r="Q98" s="175"/>
    </row>
    <row r="99" spans="1:17" ht="12.75">
      <c r="A99" s="175"/>
      <c r="B99" s="586"/>
      <c r="C99" s="175"/>
      <c r="D99" s="175"/>
      <c r="E99" s="175"/>
      <c r="F99" s="175"/>
      <c r="G99" s="175"/>
      <c r="H99" s="175"/>
      <c r="I99" s="175"/>
      <c r="J99" s="175"/>
      <c r="K99" s="175"/>
      <c r="L99" s="175"/>
      <c r="M99" s="175"/>
      <c r="N99" s="175"/>
      <c r="O99" s="175"/>
      <c r="P99" s="175"/>
      <c r="Q99" s="175"/>
    </row>
    <row r="100" spans="1:17" ht="12.75">
      <c r="A100" s="175"/>
      <c r="B100" s="586"/>
      <c r="C100" s="175"/>
      <c r="D100" s="175"/>
      <c r="E100" s="175"/>
      <c r="F100" s="175"/>
      <c r="G100" s="175"/>
      <c r="H100" s="175"/>
      <c r="I100" s="175"/>
      <c r="J100" s="175"/>
      <c r="K100" s="175"/>
      <c r="L100" s="175"/>
      <c r="M100" s="175"/>
      <c r="N100" s="175"/>
      <c r="O100" s="175"/>
      <c r="P100" s="175"/>
      <c r="Q100" s="175"/>
    </row>
    <row r="101" spans="1:17" ht="12.75">
      <c r="A101" s="175"/>
      <c r="B101" s="586"/>
      <c r="C101" s="175"/>
      <c r="D101" s="175"/>
      <c r="E101" s="175"/>
      <c r="F101" s="175"/>
      <c r="G101" s="175"/>
      <c r="H101" s="175"/>
      <c r="I101" s="175"/>
      <c r="J101" s="175"/>
      <c r="K101" s="175"/>
      <c r="L101" s="175"/>
      <c r="M101" s="175"/>
      <c r="N101" s="175"/>
      <c r="O101" s="175"/>
      <c r="P101" s="175"/>
      <c r="Q101" s="175"/>
    </row>
    <row r="102" spans="1:17" ht="12.75">
      <c r="A102" s="175"/>
      <c r="B102" s="586"/>
      <c r="C102" s="175"/>
      <c r="D102" s="175"/>
      <c r="E102" s="175"/>
      <c r="F102" s="175"/>
      <c r="G102" s="175"/>
      <c r="H102" s="175"/>
      <c r="I102" s="175"/>
      <c r="J102" s="175"/>
      <c r="K102" s="175"/>
      <c r="L102" s="175"/>
      <c r="M102" s="175"/>
      <c r="N102" s="175"/>
      <c r="O102" s="175"/>
      <c r="P102" s="175"/>
      <c r="Q102" s="175"/>
    </row>
    <row r="103" spans="1:17" ht="12.75">
      <c r="A103" s="175"/>
      <c r="B103" s="586"/>
      <c r="C103" s="175"/>
      <c r="D103" s="175"/>
      <c r="E103" s="175"/>
      <c r="F103" s="175"/>
      <c r="G103" s="175"/>
      <c r="H103" s="175"/>
      <c r="I103" s="175"/>
      <c r="J103" s="175"/>
      <c r="K103" s="175"/>
      <c r="L103" s="175"/>
      <c r="M103" s="175"/>
      <c r="N103" s="175"/>
      <c r="O103" s="175"/>
      <c r="P103" s="175"/>
      <c r="Q103" s="175"/>
    </row>
    <row r="104" spans="1:17" ht="12.75">
      <c r="A104" s="175"/>
      <c r="B104" s="586"/>
      <c r="C104" s="175"/>
      <c r="D104" s="175"/>
      <c r="E104" s="175"/>
      <c r="F104" s="175"/>
      <c r="G104" s="175"/>
      <c r="H104" s="175"/>
      <c r="I104" s="175"/>
      <c r="J104" s="175"/>
      <c r="K104" s="175"/>
      <c r="L104" s="175"/>
      <c r="M104" s="175"/>
      <c r="N104" s="175"/>
      <c r="O104" s="175"/>
      <c r="P104" s="175"/>
      <c r="Q104" s="175"/>
    </row>
    <row r="105" spans="1:17" ht="12.75">
      <c r="A105" s="175"/>
      <c r="B105" s="586"/>
      <c r="C105" s="175"/>
      <c r="D105" s="175"/>
      <c r="E105" s="175"/>
      <c r="F105" s="175"/>
      <c r="G105" s="175"/>
      <c r="H105" s="175"/>
      <c r="I105" s="175"/>
      <c r="J105" s="175"/>
      <c r="K105" s="175"/>
      <c r="L105" s="175"/>
      <c r="M105" s="175"/>
      <c r="N105" s="175"/>
      <c r="O105" s="175"/>
      <c r="P105" s="175"/>
      <c r="Q105" s="175"/>
    </row>
    <row r="106" spans="1:17" ht="12.75">
      <c r="A106" s="175"/>
      <c r="B106" s="586"/>
      <c r="C106" s="175"/>
      <c r="D106" s="175"/>
      <c r="E106" s="175"/>
      <c r="F106" s="175"/>
      <c r="G106" s="175"/>
      <c r="H106" s="175"/>
      <c r="I106" s="175"/>
      <c r="J106" s="175"/>
      <c r="K106" s="175"/>
      <c r="L106" s="175"/>
      <c r="M106" s="175"/>
      <c r="N106" s="175"/>
      <c r="O106" s="175"/>
      <c r="P106" s="175"/>
      <c r="Q106" s="175"/>
    </row>
    <row r="107" spans="1:17" ht="12.75">
      <c r="A107" s="175"/>
      <c r="B107" s="586"/>
      <c r="C107" s="175"/>
      <c r="D107" s="175"/>
      <c r="E107" s="175"/>
      <c r="F107" s="175"/>
      <c r="G107" s="175"/>
      <c r="H107" s="175"/>
      <c r="I107" s="175"/>
      <c r="J107" s="175"/>
      <c r="K107" s="175"/>
      <c r="L107" s="175"/>
      <c r="M107" s="175"/>
      <c r="N107" s="175"/>
      <c r="O107" s="175"/>
      <c r="P107" s="175"/>
      <c r="Q107" s="175"/>
    </row>
    <row r="108" spans="1:17" ht="12.75">
      <c r="A108" s="175"/>
      <c r="B108" s="586"/>
      <c r="C108" s="175"/>
      <c r="D108" s="175"/>
      <c r="E108" s="175"/>
      <c r="F108" s="175"/>
      <c r="G108" s="175"/>
      <c r="H108" s="175"/>
      <c r="I108" s="175"/>
      <c r="J108" s="175"/>
      <c r="K108" s="175"/>
      <c r="L108" s="175"/>
      <c r="M108" s="175"/>
      <c r="N108" s="175"/>
      <c r="O108" s="175"/>
      <c r="P108" s="175"/>
      <c r="Q108" s="175"/>
    </row>
    <row r="109" spans="1:17" ht="12.75">
      <c r="A109" s="175"/>
      <c r="B109" s="586"/>
      <c r="C109" s="175"/>
      <c r="D109" s="175"/>
      <c r="E109" s="175"/>
      <c r="F109" s="175"/>
      <c r="G109" s="175"/>
      <c r="H109" s="175"/>
      <c r="I109" s="175"/>
      <c r="J109" s="175"/>
      <c r="K109" s="175"/>
      <c r="L109" s="175"/>
      <c r="M109" s="175"/>
      <c r="N109" s="175"/>
      <c r="O109" s="175"/>
      <c r="P109" s="175"/>
      <c r="Q109" s="175"/>
    </row>
    <row r="110" spans="1:17" ht="12.75">
      <c r="A110" s="175"/>
      <c r="B110" s="586"/>
      <c r="C110" s="175"/>
      <c r="D110" s="175"/>
      <c r="E110" s="175"/>
      <c r="F110" s="175"/>
      <c r="G110" s="175"/>
      <c r="H110" s="175"/>
      <c r="I110" s="175"/>
      <c r="J110" s="175"/>
      <c r="K110" s="175"/>
      <c r="L110" s="175"/>
      <c r="M110" s="175"/>
      <c r="N110" s="175"/>
      <c r="O110" s="175"/>
      <c r="P110" s="175"/>
      <c r="Q110" s="175"/>
    </row>
    <row r="111" spans="1:17" ht="12.75">
      <c r="A111" s="175"/>
      <c r="B111" s="586"/>
      <c r="C111" s="175"/>
      <c r="D111" s="175"/>
      <c r="E111" s="175"/>
      <c r="F111" s="175"/>
      <c r="G111" s="175"/>
      <c r="H111" s="175"/>
      <c r="I111" s="175"/>
      <c r="J111" s="175"/>
      <c r="K111" s="175"/>
      <c r="L111" s="175"/>
      <c r="M111" s="175"/>
      <c r="N111" s="175"/>
      <c r="O111" s="175"/>
      <c r="P111" s="175"/>
      <c r="Q111" s="175"/>
    </row>
    <row r="112" spans="1:17" ht="12.75">
      <c r="A112" s="175"/>
      <c r="B112" s="586"/>
      <c r="C112" s="175"/>
      <c r="D112" s="175"/>
      <c r="E112" s="175"/>
      <c r="F112" s="175"/>
      <c r="G112" s="175"/>
      <c r="H112" s="175"/>
      <c r="I112" s="175"/>
      <c r="J112" s="175"/>
      <c r="K112" s="175"/>
      <c r="L112" s="175"/>
      <c r="M112" s="175"/>
      <c r="N112" s="175"/>
      <c r="O112" s="175"/>
      <c r="P112" s="175"/>
      <c r="Q112" s="175"/>
    </row>
    <row r="113" spans="1:17" ht="12.75">
      <c r="A113" s="175"/>
      <c r="B113" s="586"/>
      <c r="C113" s="175"/>
      <c r="D113" s="175"/>
      <c r="E113" s="175"/>
      <c r="F113" s="175"/>
      <c r="G113" s="175"/>
      <c r="H113" s="175"/>
      <c r="I113" s="175"/>
      <c r="J113" s="175"/>
      <c r="K113" s="175"/>
      <c r="L113" s="175"/>
      <c r="M113" s="175"/>
      <c r="N113" s="175"/>
      <c r="O113" s="175"/>
      <c r="P113" s="175"/>
      <c r="Q113" s="175"/>
    </row>
    <row r="114" spans="1:17" ht="12.75">
      <c r="A114" s="175"/>
      <c r="B114" s="586"/>
      <c r="C114" s="175"/>
      <c r="D114" s="175"/>
      <c r="E114" s="175"/>
      <c r="F114" s="175"/>
      <c r="G114" s="175"/>
      <c r="H114" s="175"/>
      <c r="I114" s="175"/>
      <c r="J114" s="175"/>
      <c r="K114" s="175"/>
      <c r="L114" s="175"/>
      <c r="M114" s="175"/>
      <c r="N114" s="175"/>
      <c r="O114" s="175"/>
      <c r="P114" s="175"/>
      <c r="Q114" s="175"/>
    </row>
    <row r="115" spans="1:17" ht="12.75">
      <c r="A115" s="175"/>
      <c r="B115" s="586"/>
      <c r="C115" s="175"/>
      <c r="D115" s="175"/>
      <c r="E115" s="175"/>
      <c r="F115" s="175"/>
      <c r="G115" s="175"/>
      <c r="H115" s="175"/>
      <c r="I115" s="175"/>
      <c r="J115" s="175"/>
      <c r="K115" s="175"/>
      <c r="L115" s="175"/>
      <c r="M115" s="175"/>
      <c r="N115" s="175"/>
      <c r="O115" s="175"/>
      <c r="P115" s="175"/>
      <c r="Q115" s="175"/>
    </row>
    <row r="116" spans="1:17" ht="12.75">
      <c r="A116" s="175"/>
      <c r="B116" s="586"/>
      <c r="C116" s="175"/>
      <c r="D116" s="175"/>
      <c r="E116" s="175"/>
      <c r="F116" s="175"/>
      <c r="G116" s="175"/>
      <c r="H116" s="175"/>
      <c r="I116" s="175"/>
      <c r="J116" s="175"/>
      <c r="K116" s="175"/>
      <c r="L116" s="175"/>
      <c r="M116" s="175"/>
      <c r="N116" s="175"/>
      <c r="O116" s="175"/>
      <c r="P116" s="175"/>
      <c r="Q116" s="175"/>
    </row>
    <row r="117" spans="1:17" ht="12.75">
      <c r="A117" s="175"/>
      <c r="B117" s="586"/>
      <c r="C117" s="175"/>
      <c r="D117" s="175"/>
      <c r="E117" s="175"/>
      <c r="F117" s="175"/>
      <c r="G117" s="175"/>
      <c r="H117" s="175"/>
      <c r="I117" s="175"/>
      <c r="J117" s="175"/>
      <c r="K117" s="175"/>
      <c r="L117" s="175"/>
      <c r="M117" s="175"/>
      <c r="N117" s="175"/>
      <c r="O117" s="175"/>
      <c r="P117" s="175"/>
      <c r="Q117" s="175"/>
    </row>
    <row r="118" spans="1:17" ht="12.75">
      <c r="A118" s="175"/>
      <c r="B118" s="586"/>
      <c r="C118" s="175"/>
      <c r="D118" s="175"/>
      <c r="E118" s="175"/>
      <c r="F118" s="175"/>
      <c r="G118" s="175"/>
      <c r="H118" s="175"/>
      <c r="I118" s="175"/>
      <c r="J118" s="175"/>
      <c r="K118" s="175"/>
      <c r="L118" s="175"/>
      <c r="M118" s="175"/>
      <c r="N118" s="175"/>
      <c r="O118" s="175"/>
      <c r="P118" s="175"/>
      <c r="Q118" s="175"/>
    </row>
    <row r="119" spans="1:17" ht="12.75">
      <c r="A119" s="175"/>
      <c r="B119" s="586"/>
      <c r="C119" s="175"/>
      <c r="D119" s="175"/>
      <c r="E119" s="175"/>
      <c r="F119" s="175"/>
      <c r="G119" s="175"/>
      <c r="H119" s="175"/>
      <c r="I119" s="175"/>
      <c r="J119" s="175"/>
      <c r="K119" s="175"/>
      <c r="L119" s="175"/>
      <c r="M119" s="175"/>
      <c r="N119" s="175"/>
      <c r="O119" s="175"/>
      <c r="P119" s="175"/>
      <c r="Q119" s="175"/>
    </row>
    <row r="120" spans="1:17" ht="12.75">
      <c r="A120" s="175"/>
      <c r="B120" s="586"/>
      <c r="C120" s="175"/>
      <c r="D120" s="175"/>
      <c r="E120" s="175"/>
      <c r="F120" s="175"/>
      <c r="G120" s="175"/>
      <c r="H120" s="175"/>
      <c r="I120" s="175"/>
      <c r="J120" s="175"/>
      <c r="K120" s="175"/>
      <c r="L120" s="175"/>
      <c r="M120" s="175"/>
      <c r="N120" s="175"/>
      <c r="O120" s="175"/>
      <c r="P120" s="175"/>
      <c r="Q120" s="175"/>
    </row>
    <row r="121" spans="1:17" ht="12.75">
      <c r="A121" s="175"/>
      <c r="B121" s="586"/>
      <c r="C121" s="175"/>
      <c r="D121" s="175"/>
      <c r="E121" s="175"/>
      <c r="F121" s="175"/>
      <c r="G121" s="175"/>
      <c r="H121" s="175"/>
      <c r="I121" s="175"/>
      <c r="J121" s="175"/>
      <c r="K121" s="175"/>
      <c r="L121" s="175"/>
      <c r="M121" s="175"/>
      <c r="N121" s="175"/>
      <c r="O121" s="175"/>
      <c r="P121" s="175"/>
      <c r="Q121" s="175"/>
    </row>
    <row r="122" spans="1:17" ht="12.75">
      <c r="A122" s="175"/>
      <c r="B122" s="586"/>
      <c r="C122" s="175"/>
      <c r="D122" s="175"/>
      <c r="E122" s="175"/>
      <c r="F122" s="175"/>
      <c r="G122" s="175"/>
      <c r="H122" s="175"/>
      <c r="I122" s="175"/>
      <c r="J122" s="175"/>
      <c r="K122" s="175"/>
      <c r="L122" s="175"/>
      <c r="M122" s="175"/>
      <c r="N122" s="175"/>
      <c r="O122" s="175"/>
      <c r="P122" s="175"/>
      <c r="Q122" s="175"/>
    </row>
    <row r="123" spans="1:17" ht="12.75">
      <c r="A123" s="175"/>
      <c r="B123" s="586"/>
      <c r="C123" s="175"/>
      <c r="D123" s="175"/>
      <c r="E123" s="175"/>
      <c r="F123" s="175"/>
      <c r="G123" s="175"/>
      <c r="H123" s="175"/>
      <c r="I123" s="175"/>
      <c r="J123" s="175"/>
      <c r="K123" s="175"/>
      <c r="L123" s="175"/>
      <c r="M123" s="175"/>
      <c r="N123" s="175"/>
      <c r="O123" s="175"/>
      <c r="P123" s="175"/>
      <c r="Q123" s="175"/>
    </row>
    <row r="124" spans="1:17" ht="12.75">
      <c r="A124" s="175"/>
      <c r="B124" s="586"/>
      <c r="C124" s="175"/>
      <c r="D124" s="175"/>
      <c r="E124" s="175"/>
      <c r="F124" s="175"/>
      <c r="G124" s="175"/>
      <c r="H124" s="175"/>
      <c r="I124" s="175"/>
      <c r="J124" s="175"/>
      <c r="K124" s="175"/>
      <c r="L124" s="175"/>
      <c r="M124" s="175"/>
      <c r="N124" s="175"/>
      <c r="O124" s="175"/>
      <c r="P124" s="175"/>
      <c r="Q124" s="175"/>
    </row>
    <row r="125" spans="1:17" ht="12.75">
      <c r="A125" s="175"/>
      <c r="B125" s="586"/>
      <c r="C125" s="175"/>
      <c r="D125" s="175"/>
      <c r="E125" s="175"/>
      <c r="F125" s="175"/>
      <c r="G125" s="175"/>
      <c r="H125" s="175"/>
      <c r="I125" s="175"/>
      <c r="J125" s="175"/>
      <c r="K125" s="175"/>
      <c r="L125" s="175"/>
      <c r="M125" s="175"/>
      <c r="N125" s="175"/>
      <c r="O125" s="175"/>
      <c r="P125" s="175"/>
      <c r="Q125" s="175"/>
    </row>
    <row r="126" spans="1:17" ht="12.75">
      <c r="A126" s="175"/>
      <c r="B126" s="586"/>
      <c r="C126" s="175"/>
      <c r="D126" s="175"/>
      <c r="E126" s="175"/>
      <c r="F126" s="175"/>
      <c r="G126" s="175"/>
      <c r="H126" s="175"/>
      <c r="I126" s="175"/>
      <c r="J126" s="175"/>
      <c r="K126" s="175"/>
      <c r="L126" s="175"/>
      <c r="M126" s="175"/>
      <c r="N126" s="175"/>
      <c r="O126" s="175"/>
      <c r="P126" s="175"/>
      <c r="Q126" s="175"/>
    </row>
    <row r="127" spans="1:17" ht="12.75">
      <c r="A127" s="175"/>
      <c r="B127" s="586"/>
      <c r="C127" s="175"/>
      <c r="D127" s="175"/>
      <c r="E127" s="175"/>
      <c r="F127" s="175"/>
      <c r="G127" s="175"/>
      <c r="H127" s="175"/>
      <c r="I127" s="175"/>
      <c r="J127" s="175"/>
      <c r="K127" s="175"/>
      <c r="L127" s="175"/>
      <c r="M127" s="175"/>
      <c r="N127" s="175"/>
      <c r="O127" s="175"/>
      <c r="P127" s="175"/>
      <c r="Q127" s="175"/>
    </row>
    <row r="128" spans="1:17" ht="12.75">
      <c r="A128" s="175"/>
      <c r="B128" s="586"/>
      <c r="C128" s="175"/>
      <c r="D128" s="175"/>
      <c r="E128" s="175"/>
      <c r="F128" s="175"/>
      <c r="G128" s="175"/>
      <c r="H128" s="175"/>
      <c r="I128" s="175"/>
      <c r="J128" s="175"/>
      <c r="K128" s="175"/>
      <c r="L128" s="175"/>
      <c r="M128" s="175"/>
      <c r="N128" s="175"/>
      <c r="O128" s="175"/>
      <c r="P128" s="175"/>
      <c r="Q128" s="175"/>
    </row>
    <row r="129" spans="1:17" ht="12.75">
      <c r="A129" s="175"/>
      <c r="B129" s="586"/>
      <c r="C129" s="175"/>
      <c r="D129" s="175"/>
      <c r="E129" s="175"/>
      <c r="F129" s="175"/>
      <c r="G129" s="175"/>
      <c r="H129" s="175"/>
      <c r="I129" s="175"/>
      <c r="J129" s="175"/>
      <c r="K129" s="175"/>
      <c r="L129" s="175"/>
      <c r="M129" s="175"/>
      <c r="N129" s="175"/>
      <c r="O129" s="175"/>
      <c r="P129" s="175"/>
      <c r="Q129" s="175"/>
    </row>
    <row r="130" spans="1:17" ht="12.75">
      <c r="A130" s="175"/>
      <c r="B130" s="586"/>
      <c r="C130" s="175"/>
      <c r="D130" s="175"/>
      <c r="E130" s="175"/>
      <c r="F130" s="175"/>
      <c r="G130" s="175"/>
      <c r="H130" s="175"/>
      <c r="I130" s="175"/>
      <c r="J130" s="175"/>
      <c r="K130" s="175"/>
      <c r="L130" s="175"/>
      <c r="M130" s="175"/>
      <c r="N130" s="175"/>
      <c r="O130" s="175"/>
      <c r="P130" s="175"/>
      <c r="Q130" s="175"/>
    </row>
    <row r="131" spans="1:17" ht="12.75">
      <c r="A131" s="175"/>
      <c r="B131" s="586"/>
      <c r="C131" s="175"/>
      <c r="D131" s="175"/>
      <c r="E131" s="175"/>
      <c r="F131" s="175"/>
      <c r="G131" s="175"/>
      <c r="H131" s="175"/>
      <c r="I131" s="175"/>
      <c r="J131" s="175"/>
      <c r="K131" s="175"/>
      <c r="L131" s="175"/>
      <c r="M131" s="175"/>
      <c r="N131" s="175"/>
      <c r="O131" s="175"/>
      <c r="P131" s="175"/>
      <c r="Q131" s="175"/>
    </row>
    <row r="132" spans="1:17" ht="12.75">
      <c r="A132" s="175"/>
      <c r="B132" s="586"/>
      <c r="C132" s="175"/>
      <c r="D132" s="175"/>
      <c r="E132" s="175"/>
      <c r="F132" s="175"/>
      <c r="G132" s="175"/>
      <c r="H132" s="175"/>
      <c r="I132" s="175"/>
      <c r="J132" s="175"/>
      <c r="K132" s="175"/>
      <c r="L132" s="175"/>
      <c r="M132" s="175"/>
      <c r="N132" s="175"/>
      <c r="O132" s="175"/>
      <c r="P132" s="175"/>
      <c r="Q132" s="175"/>
    </row>
    <row r="133" spans="1:17" ht="12.75">
      <c r="A133" s="175"/>
      <c r="B133" s="586"/>
      <c r="C133" s="175"/>
      <c r="D133" s="175"/>
      <c r="E133" s="175"/>
      <c r="F133" s="175"/>
      <c r="G133" s="175"/>
      <c r="H133" s="175"/>
      <c r="I133" s="175"/>
      <c r="J133" s="175"/>
      <c r="K133" s="175"/>
      <c r="L133" s="175"/>
      <c r="M133" s="175"/>
      <c r="N133" s="175"/>
      <c r="O133" s="175"/>
      <c r="P133" s="175"/>
      <c r="Q133" s="175"/>
    </row>
    <row r="134" spans="1:17" ht="12.75">
      <c r="A134" s="175"/>
      <c r="B134" s="586"/>
      <c r="C134" s="175"/>
      <c r="D134" s="175"/>
      <c r="E134" s="175"/>
      <c r="F134" s="175"/>
      <c r="G134" s="175"/>
      <c r="H134" s="175"/>
      <c r="I134" s="175"/>
      <c r="J134" s="175"/>
      <c r="K134" s="175"/>
      <c r="L134" s="175"/>
      <c r="M134" s="175"/>
      <c r="N134" s="175"/>
      <c r="O134" s="175"/>
      <c r="P134" s="175"/>
      <c r="Q134" s="175"/>
    </row>
    <row r="135" spans="1:17" ht="12.75">
      <c r="A135" s="175"/>
      <c r="B135" s="586"/>
      <c r="C135" s="175"/>
      <c r="D135" s="175"/>
      <c r="E135" s="175"/>
      <c r="F135" s="175"/>
      <c r="G135" s="175"/>
      <c r="H135" s="175"/>
      <c r="I135" s="175"/>
      <c r="J135" s="175"/>
      <c r="K135" s="175"/>
      <c r="L135" s="175"/>
      <c r="M135" s="175"/>
      <c r="N135" s="175"/>
      <c r="O135" s="175"/>
      <c r="P135" s="175"/>
      <c r="Q135" s="175"/>
    </row>
    <row r="136" spans="1:17" ht="12.75">
      <c r="A136" s="175"/>
      <c r="B136" s="586"/>
      <c r="C136" s="175"/>
      <c r="D136" s="175"/>
      <c r="E136" s="175"/>
      <c r="F136" s="175"/>
      <c r="G136" s="175"/>
      <c r="H136" s="175"/>
      <c r="I136" s="175"/>
      <c r="J136" s="175"/>
      <c r="K136" s="175"/>
      <c r="L136" s="175"/>
      <c r="M136" s="175"/>
      <c r="N136" s="175"/>
      <c r="O136" s="175"/>
      <c r="P136" s="175"/>
      <c r="Q136" s="175"/>
    </row>
    <row r="137" spans="1:17" ht="12.75">
      <c r="A137" s="175"/>
      <c r="B137" s="586"/>
      <c r="C137" s="175"/>
      <c r="D137" s="175"/>
      <c r="E137" s="175"/>
      <c r="F137" s="175"/>
      <c r="G137" s="175"/>
      <c r="H137" s="175"/>
      <c r="I137" s="175"/>
      <c r="J137" s="175"/>
      <c r="K137" s="175"/>
      <c r="L137" s="175"/>
      <c r="M137" s="175"/>
      <c r="N137" s="175"/>
      <c r="O137" s="175"/>
      <c r="P137" s="175"/>
      <c r="Q137" s="175"/>
    </row>
    <row r="138" spans="1:17" ht="12.75">
      <c r="A138" s="175"/>
      <c r="B138" s="586"/>
      <c r="C138" s="175"/>
      <c r="D138" s="175"/>
      <c r="E138" s="175"/>
      <c r="F138" s="175"/>
      <c r="G138" s="175"/>
      <c r="H138" s="175"/>
      <c r="I138" s="175"/>
      <c r="J138" s="175"/>
      <c r="K138" s="175"/>
      <c r="L138" s="175"/>
      <c r="M138" s="175"/>
      <c r="N138" s="175"/>
      <c r="O138" s="175"/>
      <c r="P138" s="175"/>
      <c r="Q138" s="175"/>
    </row>
    <row r="139" spans="1:17" ht="12.75">
      <c r="A139" s="175"/>
      <c r="B139" s="586"/>
      <c r="C139" s="175"/>
      <c r="D139" s="175"/>
      <c r="E139" s="175"/>
      <c r="F139" s="175"/>
      <c r="G139" s="175"/>
      <c r="H139" s="175"/>
      <c r="I139" s="175"/>
      <c r="J139" s="175"/>
      <c r="K139" s="175"/>
      <c r="L139" s="175"/>
      <c r="M139" s="175"/>
      <c r="N139" s="175"/>
      <c r="O139" s="175"/>
      <c r="P139" s="175"/>
      <c r="Q139" s="175"/>
    </row>
    <row r="140" spans="1:17" ht="12.75">
      <c r="A140" s="175"/>
      <c r="B140" s="586"/>
      <c r="C140" s="175"/>
      <c r="D140" s="175"/>
      <c r="E140" s="175"/>
      <c r="F140" s="175"/>
      <c r="G140" s="175"/>
      <c r="H140" s="175"/>
      <c r="I140" s="175"/>
      <c r="J140" s="175"/>
      <c r="K140" s="175"/>
      <c r="L140" s="175"/>
      <c r="M140" s="175"/>
      <c r="N140" s="175"/>
      <c r="O140" s="175"/>
      <c r="P140" s="175"/>
      <c r="Q140" s="175"/>
    </row>
    <row r="141" spans="1:17" ht="12.75">
      <c r="A141" s="175"/>
      <c r="B141" s="586"/>
      <c r="C141" s="175"/>
      <c r="D141" s="175"/>
      <c r="E141" s="175"/>
      <c r="F141" s="175"/>
      <c r="G141" s="175"/>
      <c r="H141" s="175"/>
      <c r="I141" s="175"/>
      <c r="J141" s="175"/>
      <c r="K141" s="175"/>
      <c r="L141" s="175"/>
      <c r="M141" s="175"/>
      <c r="N141" s="175"/>
      <c r="O141" s="175"/>
      <c r="P141" s="175"/>
      <c r="Q141" s="175"/>
    </row>
    <row r="142" spans="1:17" ht="12.75">
      <c r="A142" s="175"/>
      <c r="B142" s="586"/>
      <c r="C142" s="175"/>
      <c r="D142" s="175"/>
      <c r="E142" s="175"/>
      <c r="F142" s="175"/>
      <c r="G142" s="175"/>
      <c r="H142" s="175"/>
      <c r="I142" s="175"/>
      <c r="J142" s="175"/>
      <c r="K142" s="175"/>
      <c r="L142" s="175"/>
      <c r="M142" s="175"/>
      <c r="N142" s="175"/>
      <c r="O142" s="175"/>
      <c r="P142" s="175"/>
      <c r="Q142" s="175"/>
    </row>
    <row r="143" spans="1:17" ht="12.75">
      <c r="A143" s="175"/>
      <c r="B143" s="586"/>
      <c r="C143" s="175"/>
      <c r="D143" s="175"/>
      <c r="E143" s="175"/>
      <c r="F143" s="175"/>
      <c r="G143" s="175"/>
      <c r="H143" s="175"/>
      <c r="I143" s="175"/>
      <c r="J143" s="175"/>
      <c r="K143" s="175"/>
      <c r="L143" s="175"/>
      <c r="M143" s="175"/>
      <c r="N143" s="175"/>
      <c r="O143" s="175"/>
      <c r="P143" s="175"/>
      <c r="Q143" s="175"/>
    </row>
    <row r="144" spans="1:17" ht="12.75">
      <c r="A144" s="175"/>
      <c r="B144" s="586"/>
      <c r="C144" s="175"/>
      <c r="D144" s="175"/>
      <c r="E144" s="175"/>
      <c r="F144" s="175"/>
      <c r="G144" s="175"/>
      <c r="H144" s="175"/>
      <c r="I144" s="175"/>
      <c r="J144" s="175"/>
      <c r="K144" s="175"/>
      <c r="L144" s="175"/>
      <c r="M144" s="175"/>
      <c r="N144" s="175"/>
      <c r="O144" s="175"/>
      <c r="P144" s="175"/>
      <c r="Q144" s="175"/>
    </row>
    <row r="145" spans="1:17" ht="12.75">
      <c r="A145" s="175"/>
      <c r="B145" s="586"/>
      <c r="C145" s="175"/>
      <c r="D145" s="175"/>
      <c r="E145" s="175"/>
      <c r="F145" s="175"/>
      <c r="G145" s="175"/>
      <c r="H145" s="175"/>
      <c r="I145" s="175"/>
      <c r="J145" s="175"/>
      <c r="K145" s="175"/>
      <c r="L145" s="175"/>
      <c r="M145" s="175"/>
      <c r="N145" s="175"/>
      <c r="O145" s="175"/>
      <c r="P145" s="175"/>
      <c r="Q145" s="175"/>
    </row>
    <row r="146" spans="1:17" ht="12.75">
      <c r="A146" s="175"/>
      <c r="B146" s="586"/>
      <c r="C146" s="175"/>
      <c r="D146" s="175"/>
      <c r="E146" s="175"/>
      <c r="F146" s="175"/>
      <c r="G146" s="175"/>
      <c r="H146" s="175"/>
      <c r="I146" s="175"/>
      <c r="J146" s="175"/>
      <c r="K146" s="175"/>
      <c r="L146" s="175"/>
      <c r="M146" s="175"/>
      <c r="N146" s="175"/>
      <c r="O146" s="175"/>
      <c r="P146" s="175"/>
      <c r="Q146" s="175"/>
    </row>
    <row r="147" spans="1:17" ht="12.75">
      <c r="A147" s="175"/>
      <c r="B147" s="586"/>
      <c r="C147" s="175"/>
      <c r="D147" s="175"/>
      <c r="E147" s="175"/>
      <c r="F147" s="175"/>
      <c r="G147" s="175"/>
      <c r="H147" s="175"/>
      <c r="I147" s="175"/>
      <c r="J147" s="175"/>
      <c r="K147" s="175"/>
      <c r="L147" s="175"/>
      <c r="M147" s="175"/>
      <c r="N147" s="175"/>
      <c r="O147" s="175"/>
      <c r="P147" s="175"/>
      <c r="Q147" s="175"/>
    </row>
    <row r="148" spans="1:17" ht="12.75">
      <c r="A148" s="175"/>
      <c r="B148" s="586"/>
      <c r="C148" s="175"/>
      <c r="D148" s="175"/>
      <c r="E148" s="175"/>
      <c r="F148" s="175"/>
      <c r="G148" s="175"/>
      <c r="H148" s="175"/>
      <c r="I148" s="175"/>
      <c r="J148" s="175"/>
      <c r="K148" s="175"/>
      <c r="L148" s="175"/>
      <c r="M148" s="175"/>
      <c r="N148" s="175"/>
      <c r="O148" s="175"/>
      <c r="P148" s="175"/>
      <c r="Q148" s="175"/>
    </row>
    <row r="149" spans="1:17" ht="12.75">
      <c r="A149" s="175"/>
      <c r="B149" s="586"/>
      <c r="C149" s="175"/>
      <c r="D149" s="175"/>
      <c r="E149" s="175"/>
      <c r="F149" s="175"/>
      <c r="G149" s="175"/>
      <c r="H149" s="175"/>
      <c r="I149" s="175"/>
      <c r="J149" s="175"/>
      <c r="K149" s="175"/>
      <c r="L149" s="175"/>
      <c r="M149" s="175"/>
      <c r="N149" s="175"/>
      <c r="O149" s="175"/>
      <c r="P149" s="175"/>
      <c r="Q149" s="175"/>
    </row>
    <row r="150" spans="1:17" ht="12.75">
      <c r="A150" s="175"/>
      <c r="B150" s="586"/>
      <c r="C150" s="175"/>
      <c r="D150" s="175"/>
      <c r="E150" s="175"/>
      <c r="F150" s="175"/>
      <c r="G150" s="175"/>
      <c r="H150" s="175"/>
      <c r="I150" s="175"/>
      <c r="J150" s="175"/>
      <c r="K150" s="175"/>
      <c r="L150" s="175"/>
      <c r="M150" s="175"/>
      <c r="N150" s="175"/>
      <c r="O150" s="175"/>
      <c r="P150" s="175"/>
      <c r="Q150" s="175"/>
    </row>
    <row r="151" spans="1:17" ht="12.75">
      <c r="A151" s="175"/>
      <c r="B151" s="586"/>
      <c r="C151" s="175"/>
      <c r="D151" s="175"/>
      <c r="E151" s="175"/>
      <c r="F151" s="175"/>
      <c r="G151" s="175"/>
      <c r="H151" s="175"/>
      <c r="I151" s="175"/>
      <c r="J151" s="175"/>
      <c r="K151" s="175"/>
      <c r="L151" s="175"/>
      <c r="M151" s="175"/>
      <c r="N151" s="175"/>
      <c r="O151" s="175"/>
      <c r="P151" s="175"/>
      <c r="Q151" s="175"/>
    </row>
    <row r="152" spans="1:17" ht="12.75">
      <c r="A152" s="175"/>
      <c r="B152" s="586"/>
      <c r="C152" s="175"/>
      <c r="D152" s="175"/>
      <c r="E152" s="175"/>
      <c r="F152" s="175"/>
      <c r="G152" s="175"/>
      <c r="H152" s="175"/>
      <c r="I152" s="175"/>
      <c r="J152" s="175"/>
      <c r="K152" s="175"/>
      <c r="L152" s="175"/>
      <c r="M152" s="175"/>
      <c r="N152" s="175"/>
      <c r="O152" s="175"/>
      <c r="P152" s="175"/>
      <c r="Q152" s="175"/>
    </row>
    <row r="153" spans="1:17" ht="12.75">
      <c r="A153" s="175"/>
      <c r="B153" s="586"/>
      <c r="C153" s="175"/>
      <c r="D153" s="175"/>
      <c r="E153" s="175"/>
      <c r="F153" s="175"/>
      <c r="G153" s="175"/>
      <c r="H153" s="175"/>
      <c r="I153" s="175"/>
      <c r="J153" s="175"/>
      <c r="K153" s="175"/>
      <c r="L153" s="175"/>
      <c r="M153" s="175"/>
      <c r="N153" s="175"/>
      <c r="O153" s="175"/>
      <c r="P153" s="175"/>
      <c r="Q153" s="175"/>
    </row>
    <row r="154" spans="1:17" ht="12.75">
      <c r="A154" s="175"/>
      <c r="B154" s="586"/>
      <c r="C154" s="175"/>
      <c r="D154" s="175"/>
      <c r="E154" s="175"/>
      <c r="F154" s="175"/>
      <c r="G154" s="175"/>
      <c r="H154" s="175"/>
      <c r="I154" s="175"/>
      <c r="J154" s="175"/>
      <c r="K154" s="175"/>
      <c r="L154" s="175"/>
      <c r="M154" s="175"/>
      <c r="N154" s="175"/>
      <c r="O154" s="175"/>
      <c r="P154" s="175"/>
      <c r="Q154" s="175"/>
    </row>
    <row r="155" spans="1:17" ht="12.75">
      <c r="A155" s="175"/>
      <c r="B155" s="586"/>
      <c r="C155" s="175"/>
      <c r="D155" s="175"/>
      <c r="E155" s="175"/>
      <c r="F155" s="175"/>
      <c r="G155" s="175"/>
      <c r="H155" s="175"/>
      <c r="I155" s="175"/>
      <c r="J155" s="175"/>
      <c r="K155" s="175"/>
      <c r="L155" s="175"/>
      <c r="M155" s="175"/>
      <c r="N155" s="175"/>
      <c r="O155" s="175"/>
      <c r="P155" s="175"/>
      <c r="Q155" s="175"/>
    </row>
    <row r="156" spans="1:17" ht="12.75">
      <c r="A156" s="175"/>
      <c r="B156" s="586"/>
      <c r="C156" s="175"/>
      <c r="D156" s="175"/>
      <c r="E156" s="175"/>
      <c r="F156" s="175"/>
      <c r="G156" s="175"/>
      <c r="H156" s="175"/>
      <c r="I156" s="175"/>
      <c r="J156" s="175"/>
      <c r="K156" s="175"/>
      <c r="L156" s="175"/>
      <c r="M156" s="175"/>
      <c r="N156" s="175"/>
      <c r="O156" s="175"/>
      <c r="P156" s="175"/>
      <c r="Q156" s="175"/>
    </row>
    <row r="157" spans="1:17" ht="12.75">
      <c r="A157" s="175"/>
      <c r="B157" s="586"/>
      <c r="C157" s="175"/>
      <c r="D157" s="175"/>
      <c r="E157" s="175"/>
      <c r="F157" s="175"/>
      <c r="G157" s="175"/>
      <c r="H157" s="175"/>
      <c r="I157" s="175"/>
      <c r="J157" s="175"/>
      <c r="K157" s="175"/>
      <c r="L157" s="175"/>
      <c r="M157" s="175"/>
      <c r="N157" s="175"/>
      <c r="O157" s="175"/>
      <c r="P157" s="175"/>
      <c r="Q157" s="175"/>
    </row>
    <row r="158" spans="1:17" ht="12.75">
      <c r="A158" s="175"/>
      <c r="B158" s="586"/>
      <c r="C158" s="175"/>
      <c r="D158" s="175"/>
      <c r="E158" s="175"/>
      <c r="F158" s="175"/>
      <c r="G158" s="175"/>
      <c r="H158" s="175"/>
      <c r="I158" s="175"/>
      <c r="J158" s="175"/>
      <c r="K158" s="175"/>
      <c r="L158" s="175"/>
      <c r="M158" s="175"/>
      <c r="N158" s="175"/>
      <c r="O158" s="175"/>
      <c r="P158" s="175"/>
      <c r="Q158" s="175"/>
    </row>
    <row r="159" spans="1:17" ht="12.75">
      <c r="A159" s="175"/>
      <c r="B159" s="586"/>
      <c r="C159" s="175"/>
      <c r="D159" s="175"/>
      <c r="E159" s="175"/>
      <c r="F159" s="175"/>
      <c r="G159" s="175"/>
      <c r="H159" s="175"/>
      <c r="I159" s="175"/>
      <c r="J159" s="175"/>
      <c r="K159" s="175"/>
      <c r="L159" s="175"/>
      <c r="M159" s="175"/>
      <c r="N159" s="175"/>
      <c r="O159" s="175"/>
      <c r="P159" s="175"/>
      <c r="Q159" s="175"/>
    </row>
    <row r="160" spans="1:17" ht="12.75">
      <c r="A160" s="175"/>
      <c r="B160" s="586"/>
      <c r="C160" s="175"/>
      <c r="D160" s="175"/>
      <c r="E160" s="175"/>
      <c r="F160" s="175"/>
      <c r="G160" s="175"/>
      <c r="H160" s="175"/>
      <c r="I160" s="175"/>
      <c r="J160" s="175"/>
      <c r="K160" s="175"/>
      <c r="L160" s="175"/>
      <c r="M160" s="175"/>
      <c r="N160" s="175"/>
      <c r="O160" s="175"/>
      <c r="P160" s="175"/>
      <c r="Q160" s="175"/>
    </row>
    <row r="161" spans="1:17" ht="12.75">
      <c r="A161" s="175"/>
      <c r="B161" s="586"/>
      <c r="C161" s="175"/>
      <c r="D161" s="175"/>
      <c r="E161" s="175"/>
      <c r="F161" s="175"/>
      <c r="G161" s="175"/>
      <c r="H161" s="175"/>
      <c r="I161" s="175"/>
      <c r="J161" s="175"/>
      <c r="K161" s="175"/>
      <c r="L161" s="175"/>
      <c r="M161" s="175"/>
      <c r="N161" s="175"/>
      <c r="O161" s="175"/>
      <c r="P161" s="175"/>
      <c r="Q161" s="175"/>
    </row>
    <row r="162" spans="1:17" ht="12.75">
      <c r="A162" s="175"/>
      <c r="B162" s="586"/>
      <c r="C162" s="175"/>
      <c r="D162" s="175"/>
      <c r="E162" s="175"/>
      <c r="F162" s="175"/>
      <c r="G162" s="175"/>
      <c r="H162" s="175"/>
      <c r="I162" s="175"/>
      <c r="J162" s="175"/>
      <c r="K162" s="175"/>
      <c r="L162" s="175"/>
      <c r="M162" s="175"/>
      <c r="N162" s="175"/>
      <c r="O162" s="175"/>
      <c r="P162" s="175"/>
      <c r="Q162" s="175"/>
    </row>
    <row r="163" spans="1:17" ht="12.75">
      <c r="A163" s="175"/>
      <c r="B163" s="586"/>
      <c r="C163" s="175"/>
      <c r="D163" s="175"/>
      <c r="E163" s="175"/>
      <c r="F163" s="175"/>
      <c r="G163" s="175"/>
      <c r="H163" s="175"/>
      <c r="I163" s="175"/>
      <c r="J163" s="175"/>
      <c r="K163" s="175"/>
      <c r="L163" s="175"/>
      <c r="M163" s="175"/>
      <c r="N163" s="175"/>
      <c r="O163" s="175"/>
      <c r="P163" s="175"/>
      <c r="Q163" s="175"/>
    </row>
    <row r="164" spans="1:17" ht="12.75">
      <c r="A164" s="175"/>
      <c r="B164" s="586"/>
      <c r="C164" s="175"/>
      <c r="D164" s="175"/>
      <c r="E164" s="175"/>
      <c r="F164" s="175"/>
      <c r="G164" s="175"/>
      <c r="H164" s="175"/>
      <c r="I164" s="175"/>
      <c r="J164" s="175"/>
      <c r="K164" s="175"/>
      <c r="L164" s="175"/>
      <c r="M164" s="175"/>
      <c r="N164" s="175"/>
      <c r="O164" s="175"/>
      <c r="P164" s="175"/>
      <c r="Q164" s="175"/>
    </row>
    <row r="165" spans="1:17" ht="12.75">
      <c r="A165" s="175"/>
      <c r="B165" s="586"/>
      <c r="C165" s="175"/>
      <c r="D165" s="175"/>
      <c r="E165" s="175"/>
      <c r="F165" s="175"/>
      <c r="G165" s="175"/>
      <c r="H165" s="175"/>
      <c r="I165" s="175"/>
      <c r="J165" s="175"/>
      <c r="K165" s="175"/>
      <c r="L165" s="175"/>
      <c r="M165" s="175"/>
      <c r="N165" s="175"/>
      <c r="O165" s="175"/>
      <c r="P165" s="175"/>
      <c r="Q165" s="175"/>
    </row>
    <row r="166" spans="1:17" ht="12.75">
      <c r="A166" s="175"/>
      <c r="B166" s="586"/>
      <c r="C166" s="175"/>
      <c r="D166" s="175"/>
      <c r="E166" s="175"/>
      <c r="F166" s="175"/>
      <c r="G166" s="175"/>
      <c r="H166" s="175"/>
      <c r="I166" s="175"/>
      <c r="J166" s="175"/>
      <c r="K166" s="175"/>
      <c r="L166" s="175"/>
      <c r="M166" s="175"/>
      <c r="N166" s="175"/>
      <c r="O166" s="175"/>
      <c r="P166" s="175"/>
      <c r="Q166" s="175"/>
    </row>
    <row r="167" spans="1:17" ht="12.75">
      <c r="A167" s="175"/>
      <c r="B167" s="586"/>
      <c r="C167" s="175"/>
      <c r="D167" s="175"/>
      <c r="E167" s="175"/>
      <c r="F167" s="175"/>
      <c r="G167" s="175"/>
      <c r="H167" s="175"/>
      <c r="I167" s="175"/>
      <c r="J167" s="175"/>
      <c r="K167" s="175"/>
      <c r="L167" s="175"/>
      <c r="M167" s="175"/>
      <c r="N167" s="175"/>
      <c r="O167" s="175"/>
      <c r="P167" s="175"/>
      <c r="Q167" s="175"/>
    </row>
    <row r="168" spans="1:17" ht="12.75">
      <c r="A168" s="175"/>
      <c r="B168" s="586"/>
      <c r="C168" s="175"/>
      <c r="D168" s="175"/>
      <c r="E168" s="175"/>
      <c r="F168" s="175"/>
      <c r="G168" s="175"/>
      <c r="H168" s="175"/>
      <c r="I168" s="175"/>
      <c r="J168" s="175"/>
      <c r="K168" s="175"/>
      <c r="L168" s="175"/>
      <c r="M168" s="175"/>
      <c r="N168" s="175"/>
      <c r="O168" s="175"/>
      <c r="P168" s="175"/>
      <c r="Q168" s="175"/>
    </row>
    <row r="169" spans="1:17" ht="12.75">
      <c r="A169" s="175"/>
      <c r="B169" s="586"/>
      <c r="C169" s="175"/>
      <c r="D169" s="175"/>
      <c r="E169" s="175"/>
      <c r="F169" s="175"/>
      <c r="G169" s="175"/>
      <c r="H169" s="175"/>
      <c r="I169" s="175"/>
      <c r="J169" s="175"/>
      <c r="K169" s="175"/>
      <c r="L169" s="175"/>
      <c r="M169" s="175"/>
      <c r="N169" s="175"/>
      <c r="O169" s="175"/>
      <c r="P169" s="175"/>
      <c r="Q169" s="175"/>
    </row>
    <row r="170" spans="1:17" ht="12.75">
      <c r="A170" s="175"/>
      <c r="B170" s="586"/>
      <c r="C170" s="175"/>
      <c r="D170" s="175"/>
      <c r="E170" s="175"/>
      <c r="F170" s="175"/>
      <c r="G170" s="175"/>
      <c r="H170" s="175"/>
      <c r="I170" s="175"/>
      <c r="J170" s="175"/>
      <c r="K170" s="175"/>
      <c r="L170" s="175"/>
      <c r="M170" s="175"/>
      <c r="N170" s="175"/>
      <c r="O170" s="175"/>
      <c r="P170" s="175"/>
      <c r="Q170" s="175"/>
    </row>
    <row r="171" spans="1:17" ht="12.75">
      <c r="A171" s="175"/>
      <c r="B171" s="586"/>
      <c r="C171" s="175"/>
      <c r="D171" s="175"/>
      <c r="E171" s="175"/>
      <c r="F171" s="175"/>
      <c r="G171" s="175"/>
      <c r="H171" s="175"/>
      <c r="I171" s="175"/>
      <c r="J171" s="175"/>
      <c r="K171" s="175"/>
      <c r="L171" s="175"/>
      <c r="M171" s="175"/>
      <c r="N171" s="175"/>
      <c r="O171" s="175"/>
      <c r="P171" s="175"/>
      <c r="Q171" s="175"/>
    </row>
    <row r="172" spans="1:17" ht="12.75">
      <c r="A172" s="175"/>
      <c r="B172" s="586"/>
      <c r="C172" s="175"/>
      <c r="D172" s="175"/>
      <c r="E172" s="175"/>
      <c r="F172" s="175"/>
      <c r="G172" s="175"/>
      <c r="H172" s="175"/>
      <c r="I172" s="175"/>
      <c r="J172" s="175"/>
      <c r="K172" s="175"/>
      <c r="L172" s="175"/>
      <c r="M172" s="175"/>
      <c r="N172" s="175"/>
      <c r="O172" s="175"/>
      <c r="P172" s="175"/>
      <c r="Q172" s="175"/>
    </row>
    <row r="173" spans="1:17" ht="12.75">
      <c r="A173" s="175"/>
      <c r="B173" s="586"/>
      <c r="C173" s="175"/>
      <c r="D173" s="175"/>
      <c r="E173" s="175"/>
      <c r="F173" s="175"/>
      <c r="G173" s="175"/>
      <c r="H173" s="175"/>
      <c r="I173" s="175"/>
      <c r="J173" s="175"/>
      <c r="K173" s="175"/>
      <c r="L173" s="175"/>
      <c r="M173" s="175"/>
      <c r="N173" s="175"/>
      <c r="O173" s="175"/>
      <c r="P173" s="175"/>
      <c r="Q173" s="175"/>
    </row>
    <row r="174" spans="1:17" ht="12.75">
      <c r="A174" s="175"/>
      <c r="B174" s="586"/>
      <c r="C174" s="175"/>
      <c r="D174" s="175"/>
      <c r="E174" s="175"/>
      <c r="F174" s="175"/>
      <c r="G174" s="175"/>
      <c r="H174" s="175"/>
      <c r="I174" s="175"/>
      <c r="J174" s="175"/>
      <c r="K174" s="175"/>
      <c r="L174" s="175"/>
      <c r="M174" s="175"/>
      <c r="N174" s="175"/>
      <c r="O174" s="175"/>
      <c r="P174" s="175"/>
      <c r="Q174" s="175"/>
    </row>
    <row r="175" spans="1:17" ht="12.75">
      <c r="A175" s="175"/>
      <c r="B175" s="586"/>
      <c r="C175" s="175"/>
      <c r="D175" s="175"/>
      <c r="E175" s="175"/>
      <c r="F175" s="175"/>
      <c r="G175" s="175"/>
      <c r="H175" s="175"/>
      <c r="I175" s="175"/>
      <c r="J175" s="175"/>
      <c r="K175" s="175"/>
      <c r="L175" s="175"/>
      <c r="M175" s="175"/>
      <c r="N175" s="175"/>
      <c r="O175" s="175"/>
      <c r="P175" s="175"/>
      <c r="Q175" s="175"/>
    </row>
    <row r="176" spans="1:17" ht="12.75">
      <c r="A176" s="175"/>
      <c r="B176" s="586"/>
      <c r="C176" s="175"/>
      <c r="D176" s="175"/>
      <c r="E176" s="175"/>
      <c r="F176" s="175"/>
      <c r="G176" s="175"/>
      <c r="H176" s="175"/>
      <c r="I176" s="175"/>
      <c r="J176" s="175"/>
      <c r="K176" s="175"/>
      <c r="L176" s="175"/>
      <c r="M176" s="175"/>
      <c r="N176" s="175"/>
      <c r="O176" s="175"/>
      <c r="P176" s="175"/>
      <c r="Q176" s="175"/>
    </row>
    <row r="177" spans="1:17" ht="12.75">
      <c r="A177" s="175"/>
      <c r="B177" s="586"/>
      <c r="C177" s="175"/>
      <c r="D177" s="175"/>
      <c r="E177" s="175"/>
      <c r="F177" s="175"/>
      <c r="G177" s="175"/>
      <c r="H177" s="175"/>
      <c r="I177" s="175"/>
      <c r="J177" s="175"/>
      <c r="K177" s="175"/>
      <c r="L177" s="175"/>
      <c r="M177" s="175"/>
      <c r="N177" s="175"/>
      <c r="O177" s="175"/>
      <c r="P177" s="175"/>
      <c r="Q177" s="175"/>
    </row>
    <row r="178" spans="1:17" ht="12.75">
      <c r="A178" s="175"/>
      <c r="B178" s="586"/>
      <c r="C178" s="175"/>
      <c r="D178" s="175"/>
      <c r="E178" s="175"/>
      <c r="F178" s="175"/>
      <c r="G178" s="175"/>
      <c r="H178" s="175"/>
      <c r="I178" s="175"/>
      <c r="J178" s="175"/>
      <c r="K178" s="175"/>
      <c r="L178" s="175"/>
      <c r="M178" s="175"/>
      <c r="N178" s="175"/>
      <c r="O178" s="175"/>
      <c r="P178" s="175"/>
      <c r="Q178" s="175"/>
    </row>
    <row r="179" spans="1:17" ht="12.75">
      <c r="A179" s="175"/>
      <c r="B179" s="586"/>
      <c r="C179" s="175"/>
      <c r="D179" s="175"/>
      <c r="E179" s="175"/>
      <c r="F179" s="175"/>
      <c r="G179" s="175"/>
      <c r="H179" s="175"/>
      <c r="I179" s="175"/>
      <c r="J179" s="175"/>
      <c r="K179" s="175"/>
      <c r="L179" s="175"/>
      <c r="M179" s="175"/>
      <c r="N179" s="175"/>
      <c r="O179" s="175"/>
      <c r="P179" s="175"/>
      <c r="Q179" s="175"/>
    </row>
    <row r="180" spans="1:17" ht="12.75">
      <c r="A180" s="175"/>
      <c r="B180" s="586"/>
      <c r="C180" s="175"/>
      <c r="D180" s="175"/>
      <c r="E180" s="175"/>
      <c r="F180" s="175"/>
      <c r="G180" s="175"/>
      <c r="H180" s="175"/>
      <c r="I180" s="175"/>
      <c r="J180" s="175"/>
      <c r="K180" s="175"/>
      <c r="L180" s="175"/>
      <c r="M180" s="175"/>
      <c r="N180" s="175"/>
      <c r="O180" s="175"/>
      <c r="P180" s="175"/>
      <c r="Q180" s="175"/>
    </row>
    <row r="181" spans="1:17" ht="12.75">
      <c r="A181" s="175"/>
      <c r="B181" s="586"/>
      <c r="C181" s="175"/>
      <c r="D181" s="175"/>
      <c r="E181" s="175"/>
      <c r="F181" s="175"/>
      <c r="G181" s="175"/>
      <c r="H181" s="175"/>
      <c r="I181" s="175"/>
      <c r="J181" s="175"/>
      <c r="K181" s="175"/>
      <c r="L181" s="175"/>
      <c r="M181" s="175"/>
      <c r="N181" s="175"/>
      <c r="O181" s="175"/>
      <c r="P181" s="175"/>
      <c r="Q181" s="175"/>
    </row>
    <row r="182" spans="1:17" ht="12.75">
      <c r="A182" s="175"/>
      <c r="B182" s="586"/>
      <c r="C182" s="175"/>
      <c r="D182" s="175"/>
      <c r="E182" s="175"/>
      <c r="F182" s="175"/>
      <c r="G182" s="175"/>
      <c r="H182" s="175"/>
      <c r="I182" s="175"/>
      <c r="J182" s="175"/>
      <c r="K182" s="175"/>
      <c r="L182" s="175"/>
      <c r="M182" s="175"/>
      <c r="N182" s="175"/>
      <c r="O182" s="175"/>
      <c r="P182" s="175"/>
      <c r="Q182" s="175"/>
    </row>
    <row r="183" spans="1:17" ht="12.75">
      <c r="A183" s="175"/>
      <c r="B183" s="586"/>
      <c r="C183" s="175"/>
      <c r="D183" s="175"/>
      <c r="E183" s="175"/>
      <c r="F183" s="175"/>
      <c r="G183" s="175"/>
      <c r="H183" s="175"/>
      <c r="I183" s="175"/>
      <c r="J183" s="175"/>
      <c r="K183" s="175"/>
      <c r="L183" s="175"/>
      <c r="M183" s="175"/>
      <c r="N183" s="175"/>
      <c r="O183" s="175"/>
      <c r="P183" s="175"/>
      <c r="Q183" s="175"/>
    </row>
    <row r="184" spans="1:17" ht="12.75">
      <c r="A184" s="175"/>
      <c r="B184" s="586"/>
      <c r="C184" s="175"/>
      <c r="D184" s="175"/>
      <c r="E184" s="175"/>
      <c r="F184" s="175"/>
      <c r="G184" s="175"/>
      <c r="H184" s="175"/>
      <c r="I184" s="175"/>
      <c r="J184" s="175"/>
      <c r="K184" s="175"/>
      <c r="L184" s="175"/>
      <c r="M184" s="175"/>
      <c r="N184" s="175"/>
      <c r="O184" s="175"/>
      <c r="P184" s="175"/>
      <c r="Q184" s="175"/>
    </row>
    <row r="185" spans="1:17" ht="12.75">
      <c r="A185" s="175"/>
      <c r="B185" s="586"/>
      <c r="C185" s="175"/>
      <c r="D185" s="175"/>
      <c r="E185" s="175"/>
      <c r="F185" s="175"/>
      <c r="G185" s="175"/>
      <c r="H185" s="175"/>
      <c r="I185" s="175"/>
      <c r="J185" s="175"/>
      <c r="K185" s="175"/>
      <c r="L185" s="175"/>
      <c r="M185" s="175"/>
      <c r="N185" s="175"/>
      <c r="O185" s="175"/>
      <c r="P185" s="175"/>
      <c r="Q185" s="175"/>
    </row>
  </sheetData>
  <mergeCells count="1">
    <mergeCell ref="A1:F1"/>
  </mergeCells>
  <pageMargins left="0.11811023622047245" right="0.11811023622047245"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F59"/>
  <sheetViews>
    <sheetView showGridLines="0" view="pageLayout" zoomScale="90" zoomScaleNormal="120" zoomScaleSheetLayoutView="100" zoomScalePageLayoutView="90" workbookViewId="0">
      <selection activeCell="A6" sqref="A6"/>
    </sheetView>
  </sheetViews>
  <sheetFormatPr baseColWidth="10" defaultColWidth="2.5" defaultRowHeight="10.5"/>
  <cols>
    <col min="1" max="1" width="8.5" style="1" customWidth="1"/>
    <col min="2" max="2" width="43" style="1" customWidth="1"/>
    <col min="3" max="3" width="9.33203125" style="1" bestFit="1" customWidth="1"/>
    <col min="4" max="4" width="9.33203125" style="1" customWidth="1"/>
    <col min="5" max="5" width="1.33203125" style="1" customWidth="1"/>
    <col min="6" max="6" width="8.5" style="1" customWidth="1"/>
    <col min="7" max="7" width="9.6640625" style="1" customWidth="1"/>
    <col min="8" max="8" width="2.5" customWidth="1"/>
    <col min="9" max="9" width="9.1640625" style="2" customWidth="1"/>
    <col min="10" max="10" width="9.33203125" style="1" bestFit="1" customWidth="1"/>
    <col min="11" max="11" width="1.1640625" style="1" customWidth="1"/>
    <col min="12" max="12" width="9.1640625" style="1" customWidth="1"/>
    <col min="13" max="13" width="9.6640625" style="1" bestFit="1" customWidth="1"/>
    <col min="14" max="14" width="2.5" style="1" customWidth="1"/>
    <col min="15" max="15" width="9.1640625" style="2" customWidth="1"/>
    <col min="16" max="16" width="9.33203125" style="1" bestFit="1" customWidth="1"/>
    <col min="17" max="17" width="1.1640625" style="1" customWidth="1"/>
    <col min="18" max="18" width="9.1640625" style="1" customWidth="1"/>
    <col min="19" max="19" width="9.6640625" style="1" bestFit="1" customWidth="1"/>
    <col min="20" max="20" width="2.1640625" style="1" customWidth="1"/>
    <col min="21" max="21" width="7" style="1" customWidth="1"/>
    <col min="22" max="22" width="7.5" style="1" customWidth="1"/>
    <col min="23" max="23" width="8.6640625" style="1" customWidth="1"/>
    <col min="24" max="24" width="13.5" style="1" customWidth="1"/>
    <col min="25" max="25" width="16.33203125" style="1" customWidth="1"/>
    <col min="26" max="26" width="17.5" style="1" customWidth="1"/>
    <col min="27" max="16384" width="2.5" style="1"/>
  </cols>
  <sheetData>
    <row r="1" spans="1:32" ht="30" customHeight="1">
      <c r="A1" s="1098" t="s">
        <v>650</v>
      </c>
      <c r="B1" s="1099"/>
      <c r="C1" s="1100"/>
      <c r="D1" s="1100"/>
      <c r="E1" s="1100"/>
      <c r="F1" s="1100"/>
      <c r="G1" s="1100"/>
      <c r="H1" s="958"/>
      <c r="I1" s="1100"/>
      <c r="J1" s="1100"/>
      <c r="K1" s="1100"/>
      <c r="L1" s="1101"/>
      <c r="M1" s="1099"/>
      <c r="N1" s="1099"/>
      <c r="O1" s="1100"/>
      <c r="P1" s="1100"/>
      <c r="Q1" s="1100"/>
      <c r="R1" s="1101"/>
      <c r="S1" s="1099"/>
      <c r="T1" s="1099"/>
      <c r="U1" s="1099"/>
      <c r="V1" s="1099"/>
      <c r="W1" s="1099"/>
      <c r="X1" s="1099"/>
      <c r="Y1" s="1099"/>
      <c r="Z1" s="1118"/>
    </row>
    <row r="2" spans="1:32" ht="12.75">
      <c r="A2" s="1158" t="s">
        <v>883</v>
      </c>
      <c r="B2" s="5"/>
      <c r="C2" s="25"/>
      <c r="D2" s="25"/>
      <c r="E2" s="25"/>
      <c r="F2" s="25"/>
      <c r="G2" s="25"/>
      <c r="H2" s="185"/>
      <c r="I2" s="25"/>
      <c r="J2" s="25"/>
      <c r="K2" s="25"/>
      <c r="L2" s="596"/>
      <c r="M2" s="25"/>
      <c r="N2" s="25"/>
      <c r="O2" s="25"/>
      <c r="P2" s="25"/>
      <c r="Q2" s="25"/>
      <c r="R2" s="596"/>
      <c r="S2" s="25"/>
      <c r="T2" s="25"/>
      <c r="U2" s="25"/>
      <c r="V2" s="25"/>
      <c r="W2" s="25"/>
      <c r="X2" s="25"/>
      <c r="Y2" s="25"/>
      <c r="Z2" s="1119"/>
    </row>
    <row r="3" spans="1:32" ht="6" customHeight="1">
      <c r="A3" s="1102"/>
      <c r="B3" s="5"/>
      <c r="C3" s="18"/>
      <c r="D3" s="18"/>
      <c r="E3" s="18"/>
      <c r="F3" s="18"/>
      <c r="G3" s="18"/>
      <c r="H3" s="185"/>
      <c r="I3" s="18"/>
      <c r="J3" s="18"/>
      <c r="K3" s="18"/>
      <c r="L3" s="596"/>
      <c r="M3" s="18"/>
      <c r="N3" s="18"/>
      <c r="O3" s="18"/>
      <c r="P3" s="18"/>
      <c r="Q3" s="18"/>
      <c r="R3" s="596"/>
      <c r="S3" s="18"/>
      <c r="T3" s="18"/>
      <c r="U3" s="18"/>
      <c r="V3" s="18"/>
      <c r="W3" s="18"/>
      <c r="X3" s="18"/>
      <c r="Y3" s="18"/>
      <c r="Z3" s="1120"/>
    </row>
    <row r="4" spans="1:32" ht="11.25" customHeight="1">
      <c r="A4" s="1103" t="s">
        <v>1016</v>
      </c>
      <c r="B4" s="5"/>
      <c r="C4" s="18"/>
      <c r="D4" s="18"/>
      <c r="E4" s="18"/>
      <c r="F4" s="18"/>
      <c r="G4" s="18"/>
      <c r="H4" s="185"/>
      <c r="I4" s="18"/>
      <c r="J4" s="18"/>
      <c r="K4" s="18"/>
      <c r="L4" s="596"/>
      <c r="M4" s="18"/>
      <c r="N4" s="18"/>
      <c r="O4" s="18"/>
      <c r="P4" s="18"/>
      <c r="Q4" s="18"/>
      <c r="R4" s="596"/>
      <c r="S4" s="18"/>
      <c r="T4" s="18"/>
      <c r="U4" s="18"/>
      <c r="V4" s="18"/>
      <c r="W4" s="18"/>
      <c r="X4" s="18"/>
      <c r="Y4" s="18"/>
      <c r="Z4" s="1120"/>
    </row>
    <row r="5" spans="1:32" ht="6" customHeight="1">
      <c r="A5" s="1104"/>
      <c r="B5" s="5"/>
      <c r="C5" s="5"/>
      <c r="D5" s="5"/>
      <c r="E5" s="5"/>
      <c r="F5" s="5"/>
      <c r="G5" s="5"/>
      <c r="H5" s="185"/>
      <c r="I5" s="5"/>
      <c r="J5" s="5"/>
      <c r="K5" s="5"/>
      <c r="L5" s="5"/>
      <c r="M5" s="5"/>
      <c r="N5" s="5"/>
      <c r="O5" s="5"/>
      <c r="P5" s="5"/>
      <c r="Q5" s="5"/>
      <c r="R5" s="5"/>
      <c r="S5" s="5"/>
      <c r="T5" s="5"/>
      <c r="U5" s="5"/>
      <c r="V5" s="5"/>
      <c r="W5" s="5"/>
      <c r="X5" s="5"/>
      <c r="Y5" s="5"/>
      <c r="Z5" s="1121"/>
    </row>
    <row r="6" spans="1:32" ht="24">
      <c r="A6" s="1104"/>
      <c r="B6" s="27"/>
      <c r="C6" s="1037" t="s">
        <v>86</v>
      </c>
      <c r="D6" s="1037"/>
      <c r="E6" s="597"/>
      <c r="F6" s="1037" t="s">
        <v>94</v>
      </c>
      <c r="G6" s="1037"/>
      <c r="H6" s="185"/>
      <c r="I6" s="1037" t="s">
        <v>86</v>
      </c>
      <c r="J6" s="1037"/>
      <c r="K6" s="597"/>
      <c r="L6" s="1037" t="s">
        <v>94</v>
      </c>
      <c r="M6" s="1037"/>
      <c r="N6" s="494"/>
      <c r="O6" s="1037" t="s">
        <v>86</v>
      </c>
      <c r="P6" s="1037"/>
      <c r="Q6" s="597"/>
      <c r="R6" s="1037" t="s">
        <v>94</v>
      </c>
      <c r="S6" s="1037"/>
      <c r="T6" s="597"/>
      <c r="U6" s="597"/>
      <c r="V6" s="597"/>
      <c r="W6" s="597"/>
      <c r="X6" s="597"/>
      <c r="Y6" s="5"/>
      <c r="Z6" s="1121"/>
      <c r="AA6" s="7"/>
    </row>
    <row r="7" spans="1:32" ht="12.75">
      <c r="A7" s="1104"/>
      <c r="B7" s="27"/>
      <c r="C7" s="1526">
        <v>44196</v>
      </c>
      <c r="D7" s="1526"/>
      <c r="E7" s="1526"/>
      <c r="F7" s="1526"/>
      <c r="G7" s="1526"/>
      <c r="H7" s="185"/>
      <c r="I7" s="1526">
        <v>44561</v>
      </c>
      <c r="J7" s="1526"/>
      <c r="K7" s="1526"/>
      <c r="L7" s="1526"/>
      <c r="M7" s="1526"/>
      <c r="N7" s="29"/>
      <c r="O7" s="1526">
        <v>44926</v>
      </c>
      <c r="P7" s="1526"/>
      <c r="Q7" s="1526"/>
      <c r="R7" s="1526"/>
      <c r="S7" s="1526"/>
      <c r="T7" s="1097"/>
      <c r="U7" s="1097"/>
      <c r="V7" s="1097"/>
      <c r="W7" s="1097"/>
      <c r="X7" s="1097"/>
      <c r="Y7" s="5"/>
      <c r="Z7" s="1121"/>
      <c r="AA7" s="7"/>
    </row>
    <row r="8" spans="1:32" ht="10.5" customHeight="1">
      <c r="A8" s="1104"/>
      <c r="B8" s="380" t="s">
        <v>96</v>
      </c>
      <c r="C8" s="1105" t="s">
        <v>47</v>
      </c>
      <c r="D8" s="1105" t="s">
        <v>808</v>
      </c>
      <c r="E8" s="1106"/>
      <c r="F8" s="1105" t="s">
        <v>47</v>
      </c>
      <c r="G8" s="1105" t="s">
        <v>808</v>
      </c>
      <c r="H8" s="185"/>
      <c r="I8" s="1105" t="s">
        <v>47</v>
      </c>
      <c r="J8" s="1105" t="s">
        <v>808</v>
      </c>
      <c r="K8" s="1106"/>
      <c r="L8" s="1105" t="s">
        <v>47</v>
      </c>
      <c r="M8" s="1105" t="s">
        <v>808</v>
      </c>
      <c r="N8" s="5"/>
      <c r="O8" s="1105" t="s">
        <v>47</v>
      </c>
      <c r="P8" s="1105" t="s">
        <v>808</v>
      </c>
      <c r="Q8" s="1106"/>
      <c r="R8" s="1105" t="s">
        <v>47</v>
      </c>
      <c r="S8" s="1105" t="s">
        <v>808</v>
      </c>
      <c r="T8" s="1106"/>
      <c r="U8" s="1106"/>
      <c r="V8" s="1106"/>
      <c r="W8" s="1122" t="s">
        <v>58</v>
      </c>
      <c r="X8" s="1123">
        <f>SUM(O9,O12,O15)/O25</f>
        <v>0.27717222049205853</v>
      </c>
      <c r="Y8" s="5"/>
      <c r="Z8" s="1121"/>
    </row>
    <row r="9" spans="1:32" ht="11.65" customHeight="1">
      <c r="A9" s="1104"/>
      <c r="B9" s="568" t="s">
        <v>37</v>
      </c>
      <c r="C9" s="569">
        <v>68</v>
      </c>
      <c r="D9" s="1038">
        <v>11</v>
      </c>
      <c r="E9" s="1043"/>
      <c r="F9" s="569">
        <v>68</v>
      </c>
      <c r="G9" s="1038">
        <v>11</v>
      </c>
      <c r="H9" s="185"/>
      <c r="I9" s="569">
        <v>67</v>
      </c>
      <c r="J9" s="1038">
        <v>11</v>
      </c>
      <c r="K9" s="1043"/>
      <c r="L9" s="569">
        <v>67</v>
      </c>
      <c r="M9" s="1038">
        <v>11</v>
      </c>
      <c r="N9" s="1043"/>
      <c r="O9" s="1226">
        <v>67</v>
      </c>
      <c r="P9" s="1227">
        <v>11</v>
      </c>
      <c r="Q9" s="1228"/>
      <c r="R9" s="1226">
        <v>67</v>
      </c>
      <c r="S9" s="1227">
        <v>11</v>
      </c>
      <c r="T9" s="1043"/>
      <c r="U9" s="1043"/>
      <c r="V9" s="1043"/>
      <c r="W9" s="5" t="s">
        <v>300</v>
      </c>
      <c r="X9" s="1123">
        <f>SUM(O10,O13,O16)/O25</f>
        <v>0.46979134226097785</v>
      </c>
      <c r="Y9" s="5"/>
      <c r="Z9" s="1121"/>
      <c r="AF9" s="7"/>
    </row>
    <row r="10" spans="1:32" ht="11.65" customHeight="1">
      <c r="A10" s="1104"/>
      <c r="B10" s="568" t="s">
        <v>36</v>
      </c>
      <c r="C10" s="569">
        <v>22.7</v>
      </c>
      <c r="D10" s="1038">
        <v>11.7</v>
      </c>
      <c r="E10" s="1043"/>
      <c r="F10" s="569">
        <v>23</v>
      </c>
      <c r="G10" s="1038">
        <v>12</v>
      </c>
      <c r="H10" s="185"/>
      <c r="I10" s="569">
        <v>20</v>
      </c>
      <c r="J10" s="1038">
        <v>11</v>
      </c>
      <c r="K10" s="1043"/>
      <c r="L10" s="569">
        <v>20</v>
      </c>
      <c r="M10" s="1038">
        <v>11</v>
      </c>
      <c r="N10" s="1043"/>
      <c r="O10" s="1226">
        <v>19</v>
      </c>
      <c r="P10" s="1227">
        <v>9</v>
      </c>
      <c r="Q10" s="1228"/>
      <c r="R10" s="1226">
        <v>19</v>
      </c>
      <c r="S10" s="1227">
        <v>9</v>
      </c>
      <c r="T10" s="1043"/>
      <c r="U10" s="1043"/>
      <c r="V10" s="1043"/>
      <c r="W10" s="5" t="s">
        <v>90</v>
      </c>
      <c r="X10" s="1123">
        <f>O23/O25</f>
        <v>0.25303643724696356</v>
      </c>
      <c r="Y10" s="5"/>
      <c r="Z10" s="1121"/>
      <c r="AF10" s="7"/>
    </row>
    <row r="11" spans="1:32" ht="11.65" customHeight="1">
      <c r="A11" s="1104"/>
      <c r="B11" s="571" t="s">
        <v>35</v>
      </c>
      <c r="C11" s="573">
        <f>SUM(C9:C10)</f>
        <v>90.7</v>
      </c>
      <c r="D11" s="1040">
        <f>SUM(D9:D10)</f>
        <v>22.7</v>
      </c>
      <c r="E11" s="930"/>
      <c r="F11" s="573">
        <f>SUM(F9:F10)</f>
        <v>91</v>
      </c>
      <c r="G11" s="1040">
        <f>SUM(G9:G10)</f>
        <v>23</v>
      </c>
      <c r="H11" s="185"/>
      <c r="I11" s="573">
        <f>SUM(I9:I10)</f>
        <v>87</v>
      </c>
      <c r="J11" s="1040">
        <f>SUM(J9:J10)</f>
        <v>22</v>
      </c>
      <c r="K11" s="930"/>
      <c r="L11" s="573">
        <f>SUM(L9:L10)</f>
        <v>87</v>
      </c>
      <c r="M11" s="1040">
        <f>SUM(M9:M10)</f>
        <v>22</v>
      </c>
      <c r="N11" s="930"/>
      <c r="O11" s="573">
        <f>SUM(O9:O10)</f>
        <v>86</v>
      </c>
      <c r="P11" s="1040">
        <f>SUM(P9:P10)</f>
        <v>20</v>
      </c>
      <c r="Q11" s="930"/>
      <c r="R11" s="573">
        <f>SUM(R9:R10)</f>
        <v>86</v>
      </c>
      <c r="S11" s="1040">
        <f>SUM(S9:S10)</f>
        <v>20</v>
      </c>
      <c r="T11" s="930"/>
      <c r="U11" s="930"/>
      <c r="V11" s="930"/>
      <c r="W11" s="5"/>
      <c r="X11" s="1124">
        <f>SUM(X8:X10)</f>
        <v>1</v>
      </c>
      <c r="Y11" s="5"/>
      <c r="Z11" s="1121"/>
      <c r="AF11" s="7"/>
    </row>
    <row r="12" spans="1:32" ht="11.65" customHeight="1">
      <c r="A12" s="1104"/>
      <c r="B12" s="568" t="s">
        <v>728</v>
      </c>
      <c r="C12" s="569">
        <v>1</v>
      </c>
      <c r="D12" s="1038"/>
      <c r="E12" s="570"/>
      <c r="F12" s="569">
        <v>1</v>
      </c>
      <c r="G12" s="1038"/>
      <c r="H12" s="185"/>
      <c r="I12" s="569">
        <v>1</v>
      </c>
      <c r="J12" s="1038"/>
      <c r="K12" s="570"/>
      <c r="L12" s="569">
        <v>1</v>
      </c>
      <c r="M12" s="1038"/>
      <c r="N12" s="570"/>
      <c r="O12" s="1226">
        <v>1</v>
      </c>
      <c r="P12" s="1227"/>
      <c r="Q12" s="1228"/>
      <c r="R12" s="1226">
        <v>1</v>
      </c>
      <c r="S12" s="1227"/>
      <c r="T12" s="570"/>
      <c r="U12" s="570"/>
      <c r="V12" s="570"/>
      <c r="W12" s="5"/>
      <c r="X12" s="1124"/>
      <c r="Y12" s="5"/>
      <c r="Z12" s="1121"/>
      <c r="AF12" s="7"/>
    </row>
    <row r="13" spans="1:32" ht="11.65" customHeight="1">
      <c r="A13" s="1104"/>
      <c r="B13" s="568" t="s">
        <v>549</v>
      </c>
      <c r="C13" s="569">
        <v>1</v>
      </c>
      <c r="D13" s="1038"/>
      <c r="E13" s="1044"/>
      <c r="F13" s="569">
        <v>1</v>
      </c>
      <c r="G13" s="1038"/>
      <c r="H13" s="185"/>
      <c r="I13" s="569">
        <v>2</v>
      </c>
      <c r="J13" s="1038">
        <v>1</v>
      </c>
      <c r="K13" s="1044"/>
      <c r="L13" s="569">
        <v>2</v>
      </c>
      <c r="M13" s="1038">
        <v>1</v>
      </c>
      <c r="N13" s="1044"/>
      <c r="O13" s="1226">
        <v>3</v>
      </c>
      <c r="P13" s="1227">
        <v>1</v>
      </c>
      <c r="Q13" s="1228"/>
      <c r="R13" s="1226">
        <v>3</v>
      </c>
      <c r="S13" s="1227">
        <v>1</v>
      </c>
      <c r="T13" s="1044"/>
      <c r="U13" s="1044"/>
      <c r="V13" s="1044"/>
      <c r="W13" s="5" t="s">
        <v>550</v>
      </c>
      <c r="X13" s="1125"/>
      <c r="Y13" s="5"/>
      <c r="Z13" s="1121"/>
      <c r="AF13" s="7"/>
    </row>
    <row r="14" spans="1:32" ht="11.65" customHeight="1">
      <c r="A14" s="1104"/>
      <c r="B14" s="571" t="s">
        <v>741</v>
      </c>
      <c r="C14" s="573">
        <f>SUM(C12:C13)</f>
        <v>2</v>
      </c>
      <c r="D14" s="1040"/>
      <c r="E14" s="1045"/>
      <c r="F14" s="573">
        <f>SUM(F12:F13)</f>
        <v>2</v>
      </c>
      <c r="G14" s="1040"/>
      <c r="H14" s="185"/>
      <c r="I14" s="573">
        <f>SUM(I12:I13)</f>
        <v>3</v>
      </c>
      <c r="J14" s="1040">
        <f>SUM(J12:J13)</f>
        <v>1</v>
      </c>
      <c r="K14" s="1045"/>
      <c r="L14" s="573">
        <f>SUM(L12:L13)</f>
        <v>3</v>
      </c>
      <c r="M14" s="1040">
        <f>SUM(M12:M13)</f>
        <v>1</v>
      </c>
      <c r="N14" s="1045"/>
      <c r="O14" s="573">
        <f>SUM(O12:O13)</f>
        <v>4</v>
      </c>
      <c r="P14" s="1040">
        <f>SUM(P12:P13)</f>
        <v>1</v>
      </c>
      <c r="Q14" s="930"/>
      <c r="R14" s="573">
        <f>SUM(R12:R13)</f>
        <v>4</v>
      </c>
      <c r="S14" s="1040">
        <f>SUM(S12:S13)</f>
        <v>1</v>
      </c>
      <c r="T14" s="1045"/>
      <c r="U14" s="1045"/>
      <c r="V14" s="1045"/>
      <c r="W14" s="5">
        <f>15087+4060+148+178+46</f>
        <v>19519</v>
      </c>
      <c r="X14" s="1123">
        <f>W14/W17</f>
        <v>0.28910184252621601</v>
      </c>
      <c r="Y14" s="5"/>
      <c r="Z14" s="1121"/>
      <c r="AF14" s="7"/>
    </row>
    <row r="15" spans="1:32" ht="11.65" customHeight="1">
      <c r="A15" s="1104"/>
      <c r="B15" s="568" t="s">
        <v>34</v>
      </c>
      <c r="C15" s="569">
        <v>111.1</v>
      </c>
      <c r="D15" s="1038">
        <v>23.6</v>
      </c>
      <c r="E15" s="1043"/>
      <c r="F15" s="569">
        <v>112</v>
      </c>
      <c r="G15" s="1038">
        <v>24</v>
      </c>
      <c r="H15" s="185"/>
      <c r="I15" s="569">
        <v>107.3</v>
      </c>
      <c r="J15" s="1038">
        <v>24.8</v>
      </c>
      <c r="K15" s="1043"/>
      <c r="L15" s="569">
        <v>108</v>
      </c>
      <c r="M15" s="1038">
        <v>25</v>
      </c>
      <c r="N15" s="1043"/>
      <c r="O15" s="1226">
        <v>110</v>
      </c>
      <c r="P15" s="1227">
        <v>25.5</v>
      </c>
      <c r="Q15" s="1228"/>
      <c r="R15" s="1226">
        <v>111</v>
      </c>
      <c r="S15" s="1227">
        <v>26</v>
      </c>
      <c r="T15" s="1043"/>
      <c r="U15" s="1043"/>
      <c r="V15" s="1043"/>
      <c r="W15" s="5">
        <f>33021+1411+345+173+34</f>
        <v>34984</v>
      </c>
      <c r="X15" s="1123">
        <f>W15/W17</f>
        <v>0.5181586586883109</v>
      </c>
      <c r="Y15" s="5"/>
      <c r="Z15" s="1121"/>
      <c r="AF15" s="7"/>
    </row>
    <row r="16" spans="1:32" ht="11.65" customHeight="1">
      <c r="A16" s="1104"/>
      <c r="B16" s="568" t="s">
        <v>33</v>
      </c>
      <c r="C16" s="569">
        <v>286.5</v>
      </c>
      <c r="D16" s="1038">
        <v>132.9</v>
      </c>
      <c r="E16" s="1043"/>
      <c r="F16" s="569">
        <v>288</v>
      </c>
      <c r="G16" s="1038">
        <v>134</v>
      </c>
      <c r="H16" s="185"/>
      <c r="I16" s="569">
        <v>286.60000000000002</v>
      </c>
      <c r="J16" s="1038">
        <v>130.30000000000001</v>
      </c>
      <c r="K16" s="1043"/>
      <c r="L16" s="569">
        <v>288</v>
      </c>
      <c r="M16" s="1038">
        <v>131</v>
      </c>
      <c r="N16" s="1043"/>
      <c r="O16" s="1226">
        <v>279.7</v>
      </c>
      <c r="P16" s="1227">
        <v>131.4</v>
      </c>
      <c r="Q16" s="1228"/>
      <c r="R16" s="1226">
        <v>282</v>
      </c>
      <c r="S16" s="1227">
        <v>133</v>
      </c>
      <c r="T16" s="1043"/>
      <c r="U16" s="1043"/>
      <c r="V16" s="1043"/>
      <c r="W16" s="5">
        <f>7154+98+4522+836+396+7</f>
        <v>13013</v>
      </c>
      <c r="X16" s="1123">
        <f>W16/W17</f>
        <v>0.19273949878547308</v>
      </c>
      <c r="Y16" s="5"/>
      <c r="Z16" s="1121"/>
      <c r="AF16" s="593"/>
    </row>
    <row r="17" spans="1:32" ht="11.65" customHeight="1">
      <c r="A17" s="1104"/>
      <c r="B17" s="571" t="s">
        <v>32</v>
      </c>
      <c r="C17" s="573">
        <f>SUM(C15:C16)</f>
        <v>397.6</v>
      </c>
      <c r="D17" s="1040">
        <f>SUM(D15:D16)</f>
        <v>156.5</v>
      </c>
      <c r="E17" s="930"/>
      <c r="F17" s="573">
        <f>SUM(F15:F16)</f>
        <v>400</v>
      </c>
      <c r="G17" s="1040">
        <f>SUM(G15:G16)</f>
        <v>158</v>
      </c>
      <c r="H17" s="185"/>
      <c r="I17" s="573">
        <f>SUM(I15:I16)</f>
        <v>393.90000000000003</v>
      </c>
      <c r="J17" s="1040">
        <f>SUM(J15:J16)</f>
        <v>155.10000000000002</v>
      </c>
      <c r="K17" s="930"/>
      <c r="L17" s="573">
        <f>SUM(L15:L16)</f>
        <v>396</v>
      </c>
      <c r="M17" s="1040">
        <f>SUM(M15:M16)</f>
        <v>156</v>
      </c>
      <c r="N17" s="930"/>
      <c r="O17" s="573">
        <f>SUM(O15:O16)</f>
        <v>389.7</v>
      </c>
      <c r="P17" s="1040">
        <f>SUM(P15:P16)</f>
        <v>156.9</v>
      </c>
      <c r="Q17" s="930"/>
      <c r="R17" s="573">
        <f>SUM(R15:R16)</f>
        <v>393</v>
      </c>
      <c r="S17" s="1040">
        <f>SUM(S15:S16)</f>
        <v>159</v>
      </c>
      <c r="T17" s="930"/>
      <c r="U17" s="930"/>
      <c r="V17" s="930"/>
      <c r="W17" s="5">
        <f>SUM(W14:W16)</f>
        <v>67516</v>
      </c>
      <c r="X17" s="1123">
        <f>SUM(X14:X16)</f>
        <v>1</v>
      </c>
      <c r="Y17" s="1109"/>
      <c r="Z17" s="1121"/>
      <c r="AF17" s="594"/>
    </row>
    <row r="18" spans="1:32" ht="11.65" customHeight="1">
      <c r="A18" s="1104"/>
      <c r="B18" s="568" t="s">
        <v>31</v>
      </c>
      <c r="C18" s="569">
        <v>72.2</v>
      </c>
      <c r="D18" s="1038">
        <v>24.7</v>
      </c>
      <c r="E18" s="1043"/>
      <c r="F18" s="569">
        <v>74</v>
      </c>
      <c r="G18" s="1038">
        <v>26</v>
      </c>
      <c r="H18" s="185"/>
      <c r="I18" s="569">
        <v>74.8</v>
      </c>
      <c r="J18" s="1038">
        <v>25.9</v>
      </c>
      <c r="K18" s="1043"/>
      <c r="L18" s="569">
        <v>76</v>
      </c>
      <c r="M18" s="1038">
        <v>27</v>
      </c>
      <c r="N18" s="1043"/>
      <c r="O18" s="1226">
        <v>75.400000000000006</v>
      </c>
      <c r="P18" s="1227">
        <v>29.4</v>
      </c>
      <c r="Q18" s="1228"/>
      <c r="R18" s="1226">
        <v>76</v>
      </c>
      <c r="S18" s="1227">
        <v>30</v>
      </c>
      <c r="T18" s="1043"/>
      <c r="U18" s="1043"/>
      <c r="V18" s="1043"/>
      <c r="Y18" s="1109"/>
      <c r="Z18" s="1121"/>
      <c r="AF18" s="594"/>
    </row>
    <row r="19" spans="1:32" ht="11.65" customHeight="1">
      <c r="A19" s="1104"/>
      <c r="B19" s="568" t="s">
        <v>30</v>
      </c>
      <c r="C19" s="569">
        <v>67</v>
      </c>
      <c r="D19" s="1038">
        <v>31</v>
      </c>
      <c r="E19" s="1043"/>
      <c r="F19" s="569">
        <v>67</v>
      </c>
      <c r="G19" s="1038">
        <v>31</v>
      </c>
      <c r="H19" s="185"/>
      <c r="I19" s="569">
        <v>68</v>
      </c>
      <c r="J19" s="1038">
        <v>37</v>
      </c>
      <c r="K19" s="1043"/>
      <c r="L19" s="569">
        <v>68</v>
      </c>
      <c r="M19" s="1038">
        <v>37</v>
      </c>
      <c r="N19" s="1043"/>
      <c r="O19" s="1226">
        <v>68.3</v>
      </c>
      <c r="P19" s="1227">
        <v>31.5</v>
      </c>
      <c r="Q19" s="1228"/>
      <c r="R19" s="1226">
        <v>69</v>
      </c>
      <c r="S19" s="1227">
        <v>32</v>
      </c>
      <c r="T19" s="1043"/>
      <c r="U19" s="1043"/>
      <c r="V19" s="1043"/>
      <c r="Y19" s="1109"/>
      <c r="Z19" s="1121"/>
      <c r="AF19" s="594"/>
    </row>
    <row r="20" spans="1:32" ht="11.65" customHeight="1">
      <c r="A20" s="1104"/>
      <c r="B20" s="568" t="s">
        <v>481</v>
      </c>
      <c r="C20" s="569">
        <v>1</v>
      </c>
      <c r="D20" s="1038">
        <v>1</v>
      </c>
      <c r="E20" s="570"/>
      <c r="F20" s="569">
        <v>1</v>
      </c>
      <c r="G20" s="1038">
        <v>1</v>
      </c>
      <c r="H20" s="185"/>
      <c r="I20" s="569"/>
      <c r="J20" s="1038"/>
      <c r="K20" s="570"/>
      <c r="L20" s="569"/>
      <c r="M20" s="1038"/>
      <c r="N20" s="570"/>
      <c r="O20" s="1226"/>
      <c r="P20" s="1227"/>
      <c r="Q20" s="1228"/>
      <c r="R20" s="1226"/>
      <c r="S20" s="1227"/>
      <c r="T20" s="570"/>
      <c r="U20" s="570"/>
      <c r="V20" s="570"/>
      <c r="Y20" s="1109"/>
      <c r="Z20" s="1121"/>
      <c r="AF20" s="594"/>
    </row>
    <row r="21" spans="1:32" ht="11.65" customHeight="1">
      <c r="A21" s="1104"/>
      <c r="B21" s="568" t="s">
        <v>29</v>
      </c>
      <c r="C21" s="569">
        <v>11</v>
      </c>
      <c r="D21" s="1038">
        <v>3</v>
      </c>
      <c r="E21" s="570"/>
      <c r="F21" s="569">
        <v>11</v>
      </c>
      <c r="G21" s="1038">
        <v>3</v>
      </c>
      <c r="H21" s="185"/>
      <c r="I21" s="569">
        <v>11</v>
      </c>
      <c r="J21" s="1038">
        <v>3</v>
      </c>
      <c r="K21" s="570"/>
      <c r="L21" s="569">
        <v>11</v>
      </c>
      <c r="M21" s="1038">
        <v>3</v>
      </c>
      <c r="N21" s="570"/>
      <c r="O21" s="1226">
        <v>11</v>
      </c>
      <c r="P21" s="1227">
        <v>3</v>
      </c>
      <c r="Q21" s="1228"/>
      <c r="R21" s="1226">
        <v>11</v>
      </c>
      <c r="S21" s="1227">
        <v>3</v>
      </c>
      <c r="T21" s="570"/>
      <c r="U21" s="570"/>
      <c r="V21" s="570"/>
      <c r="Y21" s="5"/>
      <c r="Z21" s="1121"/>
    </row>
    <row r="22" spans="1:32" s="3" customFormat="1" ht="11.65" customHeight="1">
      <c r="A22" s="1107"/>
      <c r="B22" s="568" t="s">
        <v>65</v>
      </c>
      <c r="C22" s="569">
        <v>7</v>
      </c>
      <c r="D22" s="1038">
        <v>3</v>
      </c>
      <c r="E22" s="1043"/>
      <c r="F22" s="569">
        <v>7</v>
      </c>
      <c r="G22" s="1038">
        <v>3</v>
      </c>
      <c r="H22" s="185"/>
      <c r="I22" s="569">
        <v>7</v>
      </c>
      <c r="J22" s="1038">
        <v>3</v>
      </c>
      <c r="K22" s="1043"/>
      <c r="L22" s="569">
        <v>7</v>
      </c>
      <c r="M22" s="1038">
        <v>3</v>
      </c>
      <c r="N22" s="1043"/>
      <c r="O22" s="1226">
        <v>7.8</v>
      </c>
      <c r="P22" s="1227">
        <v>4</v>
      </c>
      <c r="Q22" s="1228"/>
      <c r="R22" s="1226">
        <v>8</v>
      </c>
      <c r="S22" s="1227">
        <v>4</v>
      </c>
      <c r="T22" s="1043"/>
      <c r="U22" s="1043"/>
      <c r="V22" s="1043"/>
      <c r="Y22" s="2"/>
      <c r="Z22" s="1126"/>
      <c r="AF22" s="593"/>
    </row>
    <row r="23" spans="1:32" ht="11.65" customHeight="1">
      <c r="A23" s="1104"/>
      <c r="B23" s="571" t="s">
        <v>28</v>
      </c>
      <c r="C23" s="572">
        <f>SUM(C18:C22)</f>
        <v>158.19999999999999</v>
      </c>
      <c r="D23" s="1041">
        <f>SUM(D18:D22)</f>
        <v>62.7</v>
      </c>
      <c r="E23" s="930"/>
      <c r="F23" s="572">
        <f>SUM(F18:F22)</f>
        <v>160</v>
      </c>
      <c r="G23" s="1041">
        <f>SUM(G18:G22)</f>
        <v>64</v>
      </c>
      <c r="H23" s="185"/>
      <c r="I23" s="572">
        <f>SUM(I18:I22)</f>
        <v>160.80000000000001</v>
      </c>
      <c r="J23" s="1041">
        <f>SUM(J18:J22)</f>
        <v>68.900000000000006</v>
      </c>
      <c r="K23" s="930"/>
      <c r="L23" s="572">
        <f>SUM(L18:L22)</f>
        <v>162</v>
      </c>
      <c r="M23" s="1041">
        <f>SUM(M18:M22)</f>
        <v>70</v>
      </c>
      <c r="N23" s="930"/>
      <c r="O23" s="573">
        <f>SUM(O18:O22)</f>
        <v>162.5</v>
      </c>
      <c r="P23" s="1040">
        <f>SUM(P18:P22)</f>
        <v>67.900000000000006</v>
      </c>
      <c r="Q23" s="930"/>
      <c r="R23" s="573">
        <f>SUM(R18:R22)</f>
        <v>164</v>
      </c>
      <c r="S23" s="1040">
        <f>SUM(S18:S22)</f>
        <v>69</v>
      </c>
      <c r="T23" s="930"/>
      <c r="U23" s="930"/>
      <c r="V23" s="930"/>
      <c r="W23" s="930"/>
      <c r="X23" s="930"/>
      <c r="Y23" s="5"/>
      <c r="Z23" s="1121"/>
    </row>
    <row r="24" spans="1:32" ht="4.9000000000000004" customHeight="1">
      <c r="A24" s="1104"/>
      <c r="B24" s="574"/>
      <c r="C24" s="575"/>
      <c r="D24" s="575"/>
      <c r="E24" s="930"/>
      <c r="F24" s="575"/>
      <c r="G24" s="575"/>
      <c r="H24" s="185"/>
      <c r="I24" s="575"/>
      <c r="J24" s="575"/>
      <c r="K24" s="930"/>
      <c r="L24" s="575"/>
      <c r="M24" s="575"/>
      <c r="N24" s="930"/>
      <c r="O24" s="930"/>
      <c r="P24" s="930"/>
      <c r="Q24" s="930"/>
      <c r="R24" s="930"/>
      <c r="S24" s="930"/>
      <c r="T24" s="930"/>
      <c r="U24" s="930"/>
      <c r="V24" s="930"/>
      <c r="W24" s="930"/>
      <c r="X24" s="930"/>
      <c r="Y24" s="5"/>
      <c r="Z24" s="1121"/>
    </row>
    <row r="25" spans="1:32" ht="11.65" customHeight="1">
      <c r="A25" s="1104"/>
      <c r="B25" s="576" t="s">
        <v>27</v>
      </c>
      <c r="C25" s="572">
        <f>SUM(C17,C14,C11,C23)</f>
        <v>648.5</v>
      </c>
      <c r="D25" s="1041">
        <f>SUM(D17,D14,D11,D23)</f>
        <v>241.89999999999998</v>
      </c>
      <c r="E25" s="931"/>
      <c r="F25" s="572">
        <f>SUM(F11,F14,F17,F23)</f>
        <v>653</v>
      </c>
      <c r="G25" s="1041">
        <f>SUM(G11,G14,G17,G23)</f>
        <v>245</v>
      </c>
      <c r="H25" s="185"/>
      <c r="I25" s="1148">
        <f>SUM(I17,I14,I11,I23)</f>
        <v>644.70000000000005</v>
      </c>
      <c r="J25" s="1041">
        <f>SUM(J17,J14,J11,J23)</f>
        <v>247.00000000000003</v>
      </c>
      <c r="K25" s="931"/>
      <c r="L25" s="572">
        <f>SUM(L11,L14,L17,L23)</f>
        <v>648</v>
      </c>
      <c r="M25" s="1041">
        <f>SUM(M11,M14,M17,M23)</f>
        <v>249</v>
      </c>
      <c r="N25" s="931"/>
      <c r="O25" s="573">
        <f>SUM(O17,O14,O11,O23)</f>
        <v>642.20000000000005</v>
      </c>
      <c r="P25" s="1040">
        <f>SUM(P17,P14,P11,P23)</f>
        <v>245.8</v>
      </c>
      <c r="Q25" s="930"/>
      <c r="R25" s="573">
        <f>SUM(R11,R14,R17,R23)</f>
        <v>647</v>
      </c>
      <c r="S25" s="1040">
        <f>SUM(S11,S14,S17,S23)</f>
        <v>249</v>
      </c>
      <c r="T25" s="931"/>
      <c r="U25" s="931"/>
      <c r="V25" s="931"/>
      <c r="W25" s="931"/>
      <c r="X25" s="931"/>
      <c r="Y25" s="5"/>
      <c r="Z25" s="1121"/>
    </row>
    <row r="26" spans="1:32" ht="8.65" customHeight="1">
      <c r="A26" s="1104"/>
      <c r="B26" s="581"/>
      <c r="C26" s="931"/>
      <c r="D26" s="931"/>
      <c r="E26" s="931"/>
      <c r="F26" s="931"/>
      <c r="G26" s="931"/>
      <c r="H26" s="185"/>
      <c r="I26" s="931"/>
      <c r="J26" s="931"/>
      <c r="K26" s="931"/>
      <c r="L26" s="931"/>
      <c r="M26" s="931"/>
      <c r="N26" s="931"/>
      <c r="O26" s="931"/>
      <c r="P26" s="931"/>
      <c r="Q26" s="931"/>
      <c r="R26" s="931"/>
      <c r="S26" s="931"/>
      <c r="T26" s="931"/>
      <c r="U26" s="931"/>
      <c r="V26" s="931"/>
      <c r="W26" s="931"/>
      <c r="X26" s="931"/>
      <c r="Y26" s="5"/>
      <c r="Z26" s="1121"/>
    </row>
    <row r="27" spans="1:32" ht="11.65" customHeight="1">
      <c r="A27" s="1104"/>
      <c r="B27" s="578" t="s">
        <v>26</v>
      </c>
      <c r="C27" s="932"/>
      <c r="D27" s="932"/>
      <c r="E27" s="1046"/>
      <c r="F27" s="932"/>
      <c r="G27" s="932"/>
      <c r="H27" s="185"/>
      <c r="I27" s="932"/>
      <c r="J27" s="932"/>
      <c r="K27" s="1046"/>
      <c r="L27" s="932"/>
      <c r="M27" s="932"/>
      <c r="N27" s="1046"/>
      <c r="O27" s="932"/>
      <c r="P27" s="932"/>
      <c r="Q27" s="1046"/>
      <c r="R27" s="932"/>
      <c r="S27" s="932"/>
      <c r="T27" s="1046"/>
      <c r="U27" s="1046"/>
      <c r="V27" s="1046"/>
      <c r="W27" s="1046"/>
      <c r="X27" s="1046"/>
      <c r="Y27" s="5"/>
      <c r="Z27" s="1121"/>
    </row>
    <row r="28" spans="1:32" ht="11.65" customHeight="1">
      <c r="A28" s="1104"/>
      <c r="B28" s="568" t="s">
        <v>25</v>
      </c>
      <c r="C28" s="569">
        <v>20.5</v>
      </c>
      <c r="D28" s="1038">
        <v>9.5</v>
      </c>
      <c r="E28" s="1043"/>
      <c r="F28" s="569">
        <v>21</v>
      </c>
      <c r="G28" s="1038">
        <v>10</v>
      </c>
      <c r="H28" s="185"/>
      <c r="I28" s="569">
        <v>24</v>
      </c>
      <c r="J28" s="1038">
        <v>10</v>
      </c>
      <c r="K28" s="1043"/>
      <c r="L28" s="569">
        <v>24</v>
      </c>
      <c r="M28" s="1038">
        <v>10</v>
      </c>
      <c r="N28" s="1043"/>
      <c r="O28" s="1226">
        <v>27</v>
      </c>
      <c r="P28" s="1227">
        <v>10</v>
      </c>
      <c r="Q28" s="1228"/>
      <c r="R28" s="1226">
        <v>27</v>
      </c>
      <c r="S28" s="1227">
        <v>10</v>
      </c>
      <c r="T28" s="1043"/>
      <c r="U28" s="1043"/>
      <c r="V28" s="1043"/>
      <c r="W28" s="1043"/>
      <c r="X28" s="1043"/>
      <c r="Y28" s="5"/>
      <c r="Z28" s="1121"/>
    </row>
    <row r="29" spans="1:32" ht="11.65" customHeight="1">
      <c r="A29" s="1104"/>
      <c r="B29" s="568" t="s">
        <v>24</v>
      </c>
      <c r="C29" s="569">
        <v>9</v>
      </c>
      <c r="D29" s="1038">
        <v>7</v>
      </c>
      <c r="E29" s="1043"/>
      <c r="F29" s="569">
        <v>9</v>
      </c>
      <c r="G29" s="1038">
        <v>7</v>
      </c>
      <c r="H29" s="185"/>
      <c r="I29" s="569">
        <v>9</v>
      </c>
      <c r="J29" s="1038">
        <v>7</v>
      </c>
      <c r="K29" s="1043"/>
      <c r="L29" s="569">
        <v>9</v>
      </c>
      <c r="M29" s="1038">
        <v>7</v>
      </c>
      <c r="N29" s="1043"/>
      <c r="O29" s="1226">
        <v>9</v>
      </c>
      <c r="P29" s="1227">
        <v>6</v>
      </c>
      <c r="Q29" s="1228"/>
      <c r="R29" s="1226">
        <v>9</v>
      </c>
      <c r="S29" s="1227">
        <v>6</v>
      </c>
      <c r="T29" s="1043"/>
      <c r="U29" s="1043"/>
      <c r="V29" s="1043"/>
      <c r="W29" s="1043"/>
      <c r="X29" s="1043"/>
      <c r="Y29" s="5"/>
      <c r="Z29" s="1121"/>
    </row>
    <row r="30" spans="1:32" ht="11.65" customHeight="1">
      <c r="A30" s="1104"/>
      <c r="B30" s="579" t="s">
        <v>66</v>
      </c>
      <c r="C30" s="569">
        <v>0.5</v>
      </c>
      <c r="D30" s="1038"/>
      <c r="E30" s="570"/>
      <c r="F30" s="569">
        <v>1</v>
      </c>
      <c r="G30" s="1038"/>
      <c r="H30" s="185"/>
      <c r="I30" s="569">
        <v>0.5</v>
      </c>
      <c r="J30" s="1038"/>
      <c r="K30" s="570"/>
      <c r="L30" s="569">
        <v>1</v>
      </c>
      <c r="M30" s="1038"/>
      <c r="N30" s="570"/>
      <c r="O30" s="1226">
        <v>0.5</v>
      </c>
      <c r="P30" s="1227"/>
      <c r="Q30" s="1228"/>
      <c r="R30" s="1226">
        <v>1</v>
      </c>
      <c r="S30" s="1227"/>
      <c r="T30" s="570"/>
      <c r="U30" s="570"/>
      <c r="V30" s="570"/>
      <c r="W30" s="570"/>
      <c r="X30" s="570"/>
      <c r="Y30" s="5"/>
      <c r="Z30" s="1121"/>
    </row>
    <row r="31" spans="1:32" ht="11.65" customHeight="1">
      <c r="A31" s="1104"/>
      <c r="B31" s="579" t="s">
        <v>67</v>
      </c>
      <c r="C31" s="569">
        <v>7.5</v>
      </c>
      <c r="D31" s="1038">
        <v>3</v>
      </c>
      <c r="E31" s="570"/>
      <c r="F31" s="569">
        <v>15</v>
      </c>
      <c r="G31" s="1038">
        <v>6</v>
      </c>
      <c r="H31" s="185"/>
      <c r="I31" s="569">
        <v>6.5</v>
      </c>
      <c r="J31" s="1038">
        <v>2</v>
      </c>
      <c r="K31" s="570"/>
      <c r="L31" s="569">
        <v>13</v>
      </c>
      <c r="M31" s="1038">
        <v>4</v>
      </c>
      <c r="N31" s="570"/>
      <c r="O31" s="1226">
        <v>6.5</v>
      </c>
      <c r="P31" s="1227">
        <v>1.5</v>
      </c>
      <c r="Q31" s="1228"/>
      <c r="R31" s="1226">
        <v>13</v>
      </c>
      <c r="S31" s="1227">
        <v>3</v>
      </c>
      <c r="T31" s="570"/>
      <c r="U31" s="570"/>
      <c r="V31" s="570"/>
      <c r="W31" s="570"/>
      <c r="X31" s="570"/>
      <c r="Y31" s="5"/>
      <c r="Z31" s="1121"/>
    </row>
    <row r="32" spans="1:32" ht="11.65" customHeight="1">
      <c r="A32" s="1104"/>
      <c r="B32" s="580" t="s">
        <v>68</v>
      </c>
      <c r="C32" s="569">
        <v>3</v>
      </c>
      <c r="D32" s="1038"/>
      <c r="E32" s="1043"/>
      <c r="F32" s="569">
        <v>3</v>
      </c>
      <c r="G32" s="1038"/>
      <c r="H32" s="185"/>
      <c r="I32" s="569">
        <v>6</v>
      </c>
      <c r="J32" s="1038">
        <v>1</v>
      </c>
      <c r="K32" s="1043"/>
      <c r="L32" s="569">
        <v>6</v>
      </c>
      <c r="M32" s="1038">
        <v>1</v>
      </c>
      <c r="N32" s="1043"/>
      <c r="O32" s="1226">
        <v>8</v>
      </c>
      <c r="P32" s="1227">
        <v>3</v>
      </c>
      <c r="Q32" s="1228"/>
      <c r="R32" s="1226">
        <v>8</v>
      </c>
      <c r="S32" s="1227">
        <v>3</v>
      </c>
      <c r="T32" s="1043"/>
      <c r="U32" s="1043"/>
      <c r="V32" s="1043"/>
      <c r="W32" s="1043"/>
      <c r="X32" s="1043"/>
      <c r="Y32" s="5"/>
      <c r="Z32" s="1121"/>
    </row>
    <row r="33" spans="1:30" ht="11.65" customHeight="1">
      <c r="A33" s="1104"/>
      <c r="B33" s="580" t="s">
        <v>69</v>
      </c>
      <c r="C33" s="569">
        <v>4.5</v>
      </c>
      <c r="D33" s="1038">
        <v>1</v>
      </c>
      <c r="E33" s="570"/>
      <c r="F33" s="569">
        <v>9</v>
      </c>
      <c r="G33" s="1038">
        <v>2</v>
      </c>
      <c r="H33" s="185"/>
      <c r="I33" s="569">
        <v>4.5</v>
      </c>
      <c r="J33" s="1038">
        <v>0.5</v>
      </c>
      <c r="K33" s="570"/>
      <c r="L33" s="569">
        <v>9</v>
      </c>
      <c r="M33" s="1038">
        <v>1</v>
      </c>
      <c r="N33" s="570"/>
      <c r="O33" s="1226">
        <v>2</v>
      </c>
      <c r="P33" s="1227">
        <v>0.5</v>
      </c>
      <c r="Q33" s="1228"/>
      <c r="R33" s="1226">
        <v>3</v>
      </c>
      <c r="S33" s="1227">
        <v>1</v>
      </c>
      <c r="T33" s="570"/>
      <c r="U33" s="5"/>
      <c r="V33" s="5"/>
      <c r="W33" s="1127" t="s">
        <v>804</v>
      </c>
      <c r="X33" s="1128">
        <f>R15/R44</f>
        <v>0.13293413173652693</v>
      </c>
      <c r="Y33" s="5"/>
      <c r="Z33" s="1121"/>
    </row>
    <row r="34" spans="1:30" ht="11.65" customHeight="1">
      <c r="A34" s="1104"/>
      <c r="B34" s="519" t="s">
        <v>23</v>
      </c>
      <c r="C34" s="875">
        <v>1</v>
      </c>
      <c r="D34" s="1039"/>
      <c r="E34" s="1047"/>
      <c r="F34" s="875">
        <v>1</v>
      </c>
      <c r="G34" s="1039"/>
      <c r="H34" s="185"/>
      <c r="I34" s="875">
        <v>1</v>
      </c>
      <c r="J34" s="1039"/>
      <c r="K34" s="1047"/>
      <c r="L34" s="875">
        <v>1</v>
      </c>
      <c r="M34" s="1039"/>
      <c r="N34" s="1047"/>
      <c r="O34" s="1429">
        <v>2</v>
      </c>
      <c r="P34" s="1430">
        <v>1</v>
      </c>
      <c r="Q34" s="1431"/>
      <c r="R34" s="1429">
        <v>2</v>
      </c>
      <c r="S34" s="1430">
        <v>1</v>
      </c>
      <c r="T34" s="1047"/>
      <c r="U34" s="5"/>
      <c r="V34" s="5"/>
      <c r="W34" s="1127" t="s">
        <v>852</v>
      </c>
      <c r="X34" s="1128">
        <f>R16/R44</f>
        <v>0.33772455089820358</v>
      </c>
      <c r="Y34" s="5"/>
      <c r="Z34" s="1121"/>
    </row>
    <row r="35" spans="1:30" ht="11.65" customHeight="1">
      <c r="A35" s="1104"/>
      <c r="B35" s="580" t="s">
        <v>22</v>
      </c>
      <c r="C35" s="569">
        <v>56</v>
      </c>
      <c r="D35" s="1038">
        <v>30</v>
      </c>
      <c r="E35" s="1043"/>
      <c r="F35" s="569">
        <v>56</v>
      </c>
      <c r="G35" s="1038">
        <v>30</v>
      </c>
      <c r="H35" s="185"/>
      <c r="I35" s="569">
        <v>43</v>
      </c>
      <c r="J35" s="1038">
        <v>17</v>
      </c>
      <c r="K35" s="1043"/>
      <c r="L35" s="569">
        <v>42</v>
      </c>
      <c r="M35" s="1038">
        <v>17</v>
      </c>
      <c r="N35" s="1043"/>
      <c r="O35" s="1226">
        <v>36</v>
      </c>
      <c r="P35" s="1227">
        <v>16</v>
      </c>
      <c r="Q35" s="1228"/>
      <c r="R35" s="1226">
        <v>36</v>
      </c>
      <c r="S35" s="1227">
        <v>16</v>
      </c>
      <c r="T35" s="1043"/>
      <c r="U35" s="5"/>
      <c r="V35" s="5"/>
      <c r="W35" s="1127" t="s">
        <v>764</v>
      </c>
      <c r="X35" s="1128">
        <f>(R9+R12)/R44</f>
        <v>8.1437125748502995E-2</v>
      </c>
      <c r="Y35" s="5"/>
      <c r="Z35" s="1121"/>
    </row>
    <row r="36" spans="1:30" ht="11.65" customHeight="1">
      <c r="A36" s="1104"/>
      <c r="B36" s="580" t="s">
        <v>729</v>
      </c>
      <c r="C36" s="569" t="s">
        <v>740</v>
      </c>
      <c r="D36" s="1038"/>
      <c r="E36" s="1044"/>
      <c r="F36" s="569" t="s">
        <v>740</v>
      </c>
      <c r="G36" s="1038"/>
      <c r="H36" s="185"/>
      <c r="I36" s="569">
        <v>5</v>
      </c>
      <c r="J36" s="1038"/>
      <c r="K36" s="1044"/>
      <c r="L36" s="569">
        <v>5</v>
      </c>
      <c r="M36" s="1038"/>
      <c r="N36" s="1044"/>
      <c r="O36" s="1226">
        <v>5</v>
      </c>
      <c r="P36" s="1227"/>
      <c r="Q36" s="1228"/>
      <c r="R36" s="1226">
        <v>5</v>
      </c>
      <c r="S36" s="1227"/>
      <c r="T36" s="1044"/>
      <c r="U36" s="5"/>
      <c r="V36" s="5"/>
      <c r="W36" s="1127" t="s">
        <v>805</v>
      </c>
      <c r="X36" s="1128">
        <f>(R10+R13)/R44</f>
        <v>2.6347305389221556E-2</v>
      </c>
      <c r="Y36" s="5"/>
      <c r="Z36" s="1121"/>
    </row>
    <row r="37" spans="1:30" ht="11.65" customHeight="1">
      <c r="A37" s="1104"/>
      <c r="B37" s="580" t="s">
        <v>301</v>
      </c>
      <c r="C37" s="569">
        <v>21.8</v>
      </c>
      <c r="D37" s="1038">
        <v>10</v>
      </c>
      <c r="E37" s="1043"/>
      <c r="F37" s="569">
        <v>24</v>
      </c>
      <c r="G37" s="1038">
        <v>11</v>
      </c>
      <c r="H37" s="185"/>
      <c r="I37" s="569">
        <v>15.7</v>
      </c>
      <c r="J37" s="1038">
        <v>10.5</v>
      </c>
      <c r="K37" s="1043"/>
      <c r="L37" s="569">
        <v>17</v>
      </c>
      <c r="M37" s="1038">
        <v>11</v>
      </c>
      <c r="N37" s="1043"/>
      <c r="O37" s="1226">
        <v>17.899999999999999</v>
      </c>
      <c r="P37" s="1227">
        <v>10.7</v>
      </c>
      <c r="Q37" s="1228"/>
      <c r="R37" s="1226">
        <v>20</v>
      </c>
      <c r="S37" s="1227">
        <v>12</v>
      </c>
      <c r="T37" s="1043"/>
      <c r="U37" s="5"/>
      <c r="V37" s="5"/>
      <c r="W37" s="1127" t="s">
        <v>1004</v>
      </c>
      <c r="X37" s="1128">
        <f>R23/R44</f>
        <v>0.19640718562874251</v>
      </c>
      <c r="Y37" s="5"/>
      <c r="Z37" s="1121"/>
    </row>
    <row r="38" spans="1:30" ht="11.65" customHeight="1">
      <c r="A38" s="1104"/>
      <c r="B38" s="580" t="s">
        <v>527</v>
      </c>
      <c r="C38" s="569">
        <v>3.5</v>
      </c>
      <c r="D38" s="1038">
        <v>2</v>
      </c>
      <c r="E38" s="1044"/>
      <c r="F38" s="569">
        <v>5</v>
      </c>
      <c r="G38" s="1038">
        <v>3</v>
      </c>
      <c r="H38" s="185"/>
      <c r="I38" s="569">
        <v>10.8</v>
      </c>
      <c r="J38" s="1038">
        <v>4.5</v>
      </c>
      <c r="K38" s="1044"/>
      <c r="L38" s="569">
        <v>12</v>
      </c>
      <c r="M38" s="1038">
        <v>5</v>
      </c>
      <c r="N38" s="1044"/>
      <c r="O38" s="1226">
        <v>12.8</v>
      </c>
      <c r="P38" s="1227">
        <v>6.5</v>
      </c>
      <c r="Q38" s="1228"/>
      <c r="R38" s="1226">
        <v>14</v>
      </c>
      <c r="S38" s="1227">
        <v>7</v>
      </c>
      <c r="T38" s="1044"/>
      <c r="U38" s="5"/>
      <c r="V38" s="5"/>
      <c r="W38" s="1127" t="s">
        <v>1013</v>
      </c>
      <c r="X38" s="1128">
        <f>SUM(R37+R38+R39)/R44</f>
        <v>4.9101796407185629E-2</v>
      </c>
      <c r="Y38" s="5"/>
      <c r="Z38" s="1121"/>
      <c r="AD38" s="7"/>
    </row>
    <row r="39" spans="1:30" ht="11.65" customHeight="1">
      <c r="A39" s="1104"/>
      <c r="B39" s="580" t="s">
        <v>526</v>
      </c>
      <c r="C39" s="569">
        <v>3</v>
      </c>
      <c r="D39" s="1038"/>
      <c r="E39" s="1044"/>
      <c r="F39" s="569">
        <v>3</v>
      </c>
      <c r="G39" s="1038"/>
      <c r="H39" s="185"/>
      <c r="I39" s="569">
        <v>3</v>
      </c>
      <c r="J39" s="1038">
        <v>1</v>
      </c>
      <c r="K39" s="1044"/>
      <c r="L39" s="569">
        <v>3</v>
      </c>
      <c r="M39" s="1038">
        <v>1</v>
      </c>
      <c r="N39" s="1044"/>
      <c r="O39" s="1226">
        <v>7</v>
      </c>
      <c r="P39" s="1227">
        <v>3</v>
      </c>
      <c r="Q39" s="1228"/>
      <c r="R39" s="1226">
        <v>7</v>
      </c>
      <c r="S39" s="1227">
        <v>3</v>
      </c>
      <c r="T39" s="1044"/>
      <c r="U39" s="5"/>
      <c r="V39" s="5"/>
      <c r="W39" s="1127" t="s">
        <v>1014</v>
      </c>
      <c r="X39" s="1128">
        <f>R28/R44</f>
        <v>3.2335329341317366E-2</v>
      </c>
      <c r="Y39" s="5"/>
      <c r="Z39" s="1121"/>
      <c r="AD39" s="7"/>
    </row>
    <row r="40" spans="1:30" ht="11.65" customHeight="1">
      <c r="A40" s="1104"/>
      <c r="B40" s="580" t="s">
        <v>271</v>
      </c>
      <c r="C40" s="569">
        <v>44.3</v>
      </c>
      <c r="D40" s="1038">
        <v>15.8</v>
      </c>
      <c r="E40" s="1108"/>
      <c r="F40" s="569">
        <v>47</v>
      </c>
      <c r="G40" s="1038">
        <v>18</v>
      </c>
      <c r="H40" s="185"/>
      <c r="I40" s="569">
        <v>29</v>
      </c>
      <c r="J40" s="1038">
        <v>12.5</v>
      </c>
      <c r="K40" s="1108"/>
      <c r="L40" s="569">
        <v>30</v>
      </c>
      <c r="M40" s="1038">
        <v>13</v>
      </c>
      <c r="N40" s="1108"/>
      <c r="O40" s="1226">
        <v>35.6</v>
      </c>
      <c r="P40" s="1227">
        <v>18.8</v>
      </c>
      <c r="Q40" s="1432"/>
      <c r="R40" s="1226">
        <v>38</v>
      </c>
      <c r="S40" s="1227">
        <v>21</v>
      </c>
      <c r="T40" s="1108"/>
      <c r="U40" s="5"/>
      <c r="V40" s="5"/>
      <c r="W40" s="1127" t="s">
        <v>765</v>
      </c>
      <c r="X40" s="1128">
        <f>SUM(R30:R31)/R44</f>
        <v>1.6766467065868262E-2</v>
      </c>
      <c r="Y40" s="5"/>
      <c r="Z40" s="1121"/>
    </row>
    <row r="41" spans="1:30" ht="11.65" customHeight="1">
      <c r="A41" s="1104"/>
      <c r="B41" s="580" t="s">
        <v>746</v>
      </c>
      <c r="C41" s="569">
        <v>5</v>
      </c>
      <c r="D41" s="1038">
        <v>2</v>
      </c>
      <c r="E41" s="1108"/>
      <c r="F41" s="569">
        <v>5</v>
      </c>
      <c r="G41" s="1038">
        <v>2</v>
      </c>
      <c r="H41" s="185"/>
      <c r="I41" s="569">
        <v>5</v>
      </c>
      <c r="J41" s="1038">
        <v>2</v>
      </c>
      <c r="K41" s="1108"/>
      <c r="L41" s="569">
        <v>5</v>
      </c>
      <c r="M41" s="1038">
        <v>2</v>
      </c>
      <c r="N41" s="1108"/>
      <c r="O41" s="1226">
        <v>5</v>
      </c>
      <c r="P41" s="1227">
        <v>2</v>
      </c>
      <c r="Q41" s="1432"/>
      <c r="R41" s="1226">
        <v>5</v>
      </c>
      <c r="S41" s="1227">
        <v>2</v>
      </c>
      <c r="T41" s="1108"/>
      <c r="U41" s="5"/>
      <c r="V41" s="5"/>
      <c r="W41" s="1127" t="s">
        <v>766</v>
      </c>
      <c r="X41" s="1128">
        <f>SUM(R32:R36)/R44</f>
        <v>6.4670658682634732E-2</v>
      </c>
      <c r="Y41" s="5"/>
      <c r="Z41" s="1121"/>
    </row>
    <row r="42" spans="1:30" ht="11.65" customHeight="1">
      <c r="A42" s="1104"/>
      <c r="B42" s="576" t="s">
        <v>21</v>
      </c>
      <c r="C42" s="577">
        <f>SUM(C28:C41)</f>
        <v>179.60000000000002</v>
      </c>
      <c r="D42" s="1042">
        <f t="shared" ref="D42:E42" si="0">SUM(D28:D41)</f>
        <v>80.3</v>
      </c>
      <c r="E42" s="931">
        <f t="shared" si="0"/>
        <v>0</v>
      </c>
      <c r="F42" s="577">
        <f>SUM(F28:F41)</f>
        <v>199</v>
      </c>
      <c r="G42" s="1042">
        <f>SUM(G28:G41)</f>
        <v>89</v>
      </c>
      <c r="H42" s="185"/>
      <c r="I42" s="577">
        <f>SUM(I28:I41)</f>
        <v>163</v>
      </c>
      <c r="J42" s="1042">
        <f t="shared" ref="J42:K42" si="1">SUM(J28:J41)</f>
        <v>68</v>
      </c>
      <c r="K42" s="931">
        <f t="shared" si="1"/>
        <v>0</v>
      </c>
      <c r="L42" s="577">
        <f>SUM(L28:L41)</f>
        <v>177</v>
      </c>
      <c r="M42" s="1042">
        <f>SUM(M28:M41)</f>
        <v>72</v>
      </c>
      <c r="N42" s="931"/>
      <c r="O42" s="577">
        <f>SUM(O28:O41)</f>
        <v>174.29999999999998</v>
      </c>
      <c r="P42" s="1042">
        <f>SUM(P28:P41)</f>
        <v>79</v>
      </c>
      <c r="Q42" s="931"/>
      <c r="R42" s="577">
        <f>SUM(R28:R41)</f>
        <v>188</v>
      </c>
      <c r="S42" s="1042">
        <f>SUM(S28:S41)</f>
        <v>85</v>
      </c>
      <c r="T42" s="931"/>
      <c r="U42" s="5"/>
      <c r="V42" s="5"/>
      <c r="W42" s="1127" t="s">
        <v>767</v>
      </c>
      <c r="X42" s="1128">
        <f>R29/R44</f>
        <v>1.0778443113772455E-2</v>
      </c>
      <c r="Y42" s="5"/>
      <c r="Z42" s="1121"/>
    </row>
    <row r="43" spans="1:30" ht="11.65" customHeight="1">
      <c r="A43" s="1104"/>
      <c r="B43" s="581"/>
      <c r="C43" s="795"/>
      <c r="D43" s="795"/>
      <c r="E43" s="931"/>
      <c r="F43" s="795"/>
      <c r="G43" s="795"/>
      <c r="H43" s="185"/>
      <c r="I43" s="795"/>
      <c r="J43" s="795"/>
      <c r="K43" s="931"/>
      <c r="L43" s="795"/>
      <c r="M43" s="795"/>
      <c r="N43" s="931"/>
      <c r="O43" s="931"/>
      <c r="P43" s="931"/>
      <c r="Q43" s="931"/>
      <c r="R43" s="931"/>
      <c r="S43" s="931"/>
      <c r="T43" s="931"/>
      <c r="U43" s="5"/>
      <c r="V43" s="5"/>
      <c r="W43" s="1127" t="s">
        <v>1015</v>
      </c>
      <c r="X43" s="1128">
        <f>(R40+R41)/R44</f>
        <v>5.1497005988023953E-2</v>
      </c>
      <c r="Y43" s="5"/>
      <c r="Z43" s="1121"/>
    </row>
    <row r="44" spans="1:30" ht="22.5" customHeight="1">
      <c r="A44" s="1104"/>
      <c r="B44" s="576" t="s">
        <v>20</v>
      </c>
      <c r="C44" s="577">
        <f>SUM(C42,C25)</f>
        <v>828.1</v>
      </c>
      <c r="D44" s="1042">
        <f>SUM(D42,D25)</f>
        <v>322.2</v>
      </c>
      <c r="E44" s="931"/>
      <c r="F44" s="577">
        <f>SUM(F42,F25)</f>
        <v>852</v>
      </c>
      <c r="G44" s="1042">
        <f>SUM(G42,G25)</f>
        <v>334</v>
      </c>
      <c r="H44" s="185"/>
      <c r="I44" s="577">
        <f>SUM(I42,I25)</f>
        <v>807.7</v>
      </c>
      <c r="J44" s="1042">
        <f>SUM(J42,J25)</f>
        <v>315</v>
      </c>
      <c r="K44" s="931"/>
      <c r="L44" s="577">
        <f>SUM(L42,L25)</f>
        <v>825</v>
      </c>
      <c r="M44" s="1042">
        <f>SUM(M42,M25)</f>
        <v>321</v>
      </c>
      <c r="N44" s="931"/>
      <c r="O44" s="577">
        <f>SUM(O42,O25)</f>
        <v>816.5</v>
      </c>
      <c r="P44" s="1042">
        <f>SUM(P42,P25)</f>
        <v>324.8</v>
      </c>
      <c r="Q44" s="931"/>
      <c r="R44" s="577">
        <f>SUM(R42,R25)</f>
        <v>835</v>
      </c>
      <c r="S44" s="1042">
        <f>SUM(S42,S25)</f>
        <v>334</v>
      </c>
      <c r="T44" s="931"/>
      <c r="U44" s="931"/>
      <c r="V44" s="931"/>
      <c r="W44" s="931"/>
      <c r="X44" s="1122">
        <f>SUM(X33:X43)</f>
        <v>1</v>
      </c>
      <c r="Y44" s="5"/>
      <c r="Z44" s="1121"/>
    </row>
    <row r="45" spans="1:30" ht="22.5" customHeight="1">
      <c r="A45" s="1104"/>
      <c r="B45" s="5"/>
      <c r="C45" s="5"/>
      <c r="D45" s="5"/>
      <c r="E45" s="5"/>
      <c r="F45" s="5"/>
      <c r="G45" s="5"/>
      <c r="H45" s="185"/>
      <c r="I45" s="5"/>
      <c r="J45" s="5"/>
      <c r="K45" s="5"/>
      <c r="L45" s="5"/>
      <c r="M45" s="5"/>
      <c r="N45" s="5"/>
      <c r="O45" s="5"/>
      <c r="P45" s="5"/>
      <c r="Q45" s="5"/>
      <c r="R45" s="5"/>
      <c r="S45" s="5"/>
      <c r="T45" s="5"/>
      <c r="U45" s="5"/>
      <c r="V45" s="5"/>
      <c r="W45" s="5"/>
      <c r="X45" s="5"/>
      <c r="Y45" s="5"/>
      <c r="Z45" s="1121"/>
    </row>
    <row r="46" spans="1:30" ht="14.25" customHeight="1">
      <c r="A46" s="1104"/>
      <c r="B46" s="2"/>
      <c r="C46" s="2"/>
      <c r="D46" s="2"/>
      <c r="E46" s="2"/>
      <c r="F46" s="2"/>
      <c r="G46" s="2"/>
      <c r="H46" s="185"/>
      <c r="J46" s="2"/>
      <c r="K46" s="2"/>
      <c r="L46" s="2"/>
      <c r="M46" s="2"/>
      <c r="N46" s="2"/>
      <c r="P46" s="2"/>
      <c r="Q46" s="2"/>
      <c r="R46" s="2"/>
      <c r="S46" s="2"/>
      <c r="T46" s="5"/>
      <c r="U46" s="5"/>
      <c r="V46" s="5"/>
      <c r="W46" s="5"/>
      <c r="X46" s="5"/>
      <c r="Y46" s="5"/>
      <c r="Z46" s="1121"/>
    </row>
    <row r="47" spans="1:30" ht="12">
      <c r="A47" s="1104"/>
      <c r="B47" s="1109"/>
      <c r="C47" s="852"/>
      <c r="D47" s="852"/>
      <c r="E47" s="1110"/>
      <c r="F47" s="5"/>
      <c r="G47" s="5"/>
      <c r="H47" s="185"/>
      <c r="J47" s="5"/>
      <c r="K47" s="5"/>
      <c r="L47" s="5"/>
      <c r="M47" s="5"/>
      <c r="N47" s="5"/>
      <c r="P47" s="5"/>
      <c r="Q47" s="5"/>
      <c r="R47" s="5"/>
      <c r="S47" s="5"/>
      <c r="T47" s="5"/>
      <c r="U47" s="5"/>
      <c r="V47" s="5"/>
      <c r="W47" s="5"/>
      <c r="X47" s="5"/>
      <c r="Y47" s="5"/>
      <c r="Z47" s="1121"/>
    </row>
    <row r="48" spans="1:30" ht="12">
      <c r="A48" s="1111"/>
      <c r="B48" s="1112"/>
      <c r="C48" s="1113"/>
      <c r="D48" s="1113"/>
      <c r="E48" s="1114"/>
      <c r="F48" s="1115"/>
      <c r="G48" s="1115"/>
      <c r="H48" s="985"/>
      <c r="I48" s="1116"/>
      <c r="J48" s="1117"/>
      <c r="K48" s="1117"/>
      <c r="L48" s="1115"/>
      <c r="M48" s="1115"/>
      <c r="N48" s="1115"/>
      <c r="O48" s="1116"/>
      <c r="P48" s="1117"/>
      <c r="Q48" s="1117"/>
      <c r="R48" s="1115"/>
      <c r="S48" s="1115"/>
      <c r="T48" s="1115"/>
      <c r="U48" s="1115"/>
      <c r="V48" s="1115"/>
      <c r="W48" s="1115"/>
      <c r="X48" s="1115"/>
      <c r="Y48" s="1115"/>
      <c r="Z48" s="1129"/>
    </row>
    <row r="49" spans="1:25" ht="12">
      <c r="B49" s="593"/>
      <c r="C49" s="594"/>
      <c r="D49" s="594"/>
      <c r="E49" s="848"/>
    </row>
    <row r="50" spans="1:25">
      <c r="B50" s="3"/>
      <c r="C50" s="3"/>
      <c r="D50" s="3"/>
      <c r="E50" s="3"/>
      <c r="F50" s="3"/>
      <c r="G50" s="3"/>
      <c r="I50" s="3"/>
      <c r="J50"/>
      <c r="K50"/>
      <c r="M50"/>
      <c r="N50"/>
      <c r="O50" s="3"/>
      <c r="P50"/>
      <c r="Q50"/>
      <c r="S50"/>
    </row>
    <row r="51" spans="1:25">
      <c r="A51" s="3"/>
      <c r="B51" s="3"/>
      <c r="C51" s="3"/>
      <c r="D51" s="3"/>
      <c r="E51" s="3"/>
      <c r="F51" s="3"/>
      <c r="G51" s="3"/>
      <c r="I51" s="3"/>
      <c r="J51"/>
      <c r="K51"/>
      <c r="M51"/>
      <c r="N51"/>
      <c r="O51" s="3"/>
      <c r="P51"/>
      <c r="Q51"/>
      <c r="S51"/>
      <c r="T51"/>
      <c r="U51"/>
      <c r="V51"/>
      <c r="W51"/>
      <c r="X51"/>
      <c r="Y51"/>
    </row>
    <row r="52" spans="1:25">
      <c r="A52" s="3"/>
      <c r="B52" s="3"/>
      <c r="C52" s="3"/>
      <c r="D52" s="3"/>
      <c r="E52" s="3"/>
      <c r="F52" s="3"/>
      <c r="G52" s="3"/>
      <c r="I52" s="3"/>
      <c r="J52"/>
      <c r="K52"/>
      <c r="M52"/>
      <c r="N52"/>
      <c r="O52" s="3"/>
      <c r="P52"/>
      <c r="Q52"/>
      <c r="S52"/>
      <c r="T52"/>
      <c r="U52"/>
      <c r="V52"/>
      <c r="W52"/>
      <c r="X52"/>
      <c r="Y52"/>
    </row>
    <row r="53" spans="1:25">
      <c r="A53" s="3"/>
      <c r="T53"/>
      <c r="U53"/>
      <c r="V53"/>
      <c r="W53"/>
      <c r="X53"/>
      <c r="Y53"/>
    </row>
    <row r="54" spans="1:25" ht="12">
      <c r="B54" s="593"/>
      <c r="C54" s="594"/>
      <c r="D54" s="594"/>
      <c r="E54" s="594"/>
    </row>
    <row r="58" spans="1:25" ht="12">
      <c r="B58" s="593"/>
      <c r="C58" s="594"/>
      <c r="D58" s="594"/>
      <c r="E58" s="594"/>
    </row>
    <row r="59" spans="1:25" ht="12">
      <c r="B59" s="593"/>
      <c r="C59" s="594"/>
      <c r="D59" s="594"/>
      <c r="E59" s="594"/>
    </row>
  </sheetData>
  <mergeCells count="3">
    <mergeCell ref="O7:S7"/>
    <mergeCell ref="I7:M7"/>
    <mergeCell ref="C7:G7"/>
  </mergeCells>
  <pageMargins left="0.11811023622047245" right="0.11811023622047245" top="0.35433070866141736" bottom="0.35433070866141736" header="0.31496062992125984" footer="0.31496062992125984"/>
  <pageSetup paperSize="9" scale="72" orientation="landscape" r:id="rId1"/>
  <ignoredErrors>
    <ignoredError sqref="O11 X4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B62"/>
  <sheetViews>
    <sheetView showGridLines="0" topLeftCell="A13" zoomScale="90" zoomScaleNormal="90" zoomScaleSheetLayoutView="100" workbookViewId="0">
      <selection activeCell="A6" sqref="A6"/>
    </sheetView>
  </sheetViews>
  <sheetFormatPr baseColWidth="10" defaultColWidth="12" defaultRowHeight="11.25"/>
  <cols>
    <col min="1" max="1" width="18" style="57" customWidth="1"/>
    <col min="2" max="2" width="10.5" style="57" customWidth="1"/>
    <col min="3" max="3" width="7.1640625" style="57" customWidth="1"/>
    <col min="4" max="4" width="9.33203125" style="57" customWidth="1"/>
    <col min="5" max="5" width="10.5" style="57" customWidth="1"/>
    <col min="6" max="6" width="7.1640625" style="58" customWidth="1"/>
    <col min="7" max="7" width="4.5" style="59" customWidth="1"/>
    <col min="8" max="9" width="7.1640625" style="57" customWidth="1"/>
    <col min="10" max="10" width="11.5" style="57" customWidth="1"/>
    <col min="11" max="11" width="9" style="57" customWidth="1"/>
    <col min="12" max="12" width="8" style="57" customWidth="1"/>
    <col min="13" max="13" width="11.83203125" style="57" customWidth="1"/>
    <col min="14" max="14" width="11.1640625" style="57" customWidth="1"/>
    <col min="15" max="15" width="10.5" style="66" customWidth="1"/>
    <col min="16" max="16" width="8.83203125" style="66" customWidth="1"/>
    <col min="17" max="17" width="7.1640625" style="57" customWidth="1"/>
    <col min="18" max="18" width="10.6640625" style="57" customWidth="1"/>
    <col min="19" max="19" width="2.5" style="57" customWidth="1"/>
    <col min="20" max="21" width="12" style="57"/>
    <col min="22" max="22" width="18.6640625" style="57" bestFit="1" customWidth="1"/>
    <col min="23" max="23" width="12" style="57"/>
    <col min="24" max="24" width="29.33203125" style="57" bestFit="1" customWidth="1"/>
    <col min="25" max="16384" width="12" style="57"/>
  </cols>
  <sheetData>
    <row r="1" spans="1:18" ht="18.75">
      <c r="A1" s="230" t="s">
        <v>331</v>
      </c>
      <c r="B1" s="59"/>
      <c r="C1" s="59"/>
      <c r="D1" s="59"/>
      <c r="E1" s="59"/>
      <c r="H1" s="59"/>
      <c r="I1" s="59"/>
      <c r="J1" s="59"/>
      <c r="K1" s="59"/>
      <c r="L1" s="59"/>
      <c r="M1" s="59"/>
      <c r="N1" s="59"/>
      <c r="O1" s="58"/>
      <c r="P1" s="58"/>
    </row>
    <row r="2" spans="1:18">
      <c r="A2" s="874" t="s">
        <v>1005</v>
      </c>
    </row>
    <row r="3" spans="1:18">
      <c r="A3" s="1156" t="s">
        <v>858</v>
      </c>
    </row>
    <row r="4" spans="1:18" ht="11.65" customHeight="1">
      <c r="B4" s="1528" t="s">
        <v>55</v>
      </c>
      <c r="C4" s="1528"/>
      <c r="D4" s="1528"/>
      <c r="E4" s="1528"/>
      <c r="F4" s="1528"/>
      <c r="G4" s="60"/>
      <c r="H4" s="1528" t="s">
        <v>54</v>
      </c>
      <c r="I4" s="1528"/>
      <c r="J4" s="1528"/>
      <c r="K4" s="1528"/>
      <c r="L4" s="1528"/>
      <c r="M4" s="1528"/>
      <c r="N4" s="1528"/>
      <c r="O4" s="1528"/>
      <c r="P4" s="1528"/>
      <c r="Q4" s="1528"/>
      <c r="R4" s="1528"/>
    </row>
    <row r="5" spans="1:18" ht="6.6" customHeight="1"/>
    <row r="6" spans="1:18" ht="30" customHeight="1">
      <c r="A6" s="64">
        <v>44196</v>
      </c>
      <c r="B6" s="62" t="s">
        <v>97</v>
      </c>
      <c r="C6" s="33" t="s">
        <v>98</v>
      </c>
      <c r="D6" s="62" t="s">
        <v>53</v>
      </c>
      <c r="E6" s="33" t="s">
        <v>52</v>
      </c>
      <c r="F6" s="62" t="s">
        <v>47</v>
      </c>
      <c r="G6" s="33"/>
      <c r="H6" s="62" t="s">
        <v>25</v>
      </c>
      <c r="I6" s="33" t="s">
        <v>98</v>
      </c>
      <c r="J6" s="62" t="s">
        <v>51</v>
      </c>
      <c r="K6" s="33" t="s">
        <v>50</v>
      </c>
      <c r="L6" s="62" t="s">
        <v>545</v>
      </c>
      <c r="M6" s="33" t="s">
        <v>49</v>
      </c>
      <c r="N6" s="62" t="s">
        <v>546</v>
      </c>
      <c r="O6" s="33" t="s">
        <v>674</v>
      </c>
      <c r="P6" s="62" t="s">
        <v>47</v>
      </c>
      <c r="Q6" s="135" t="s">
        <v>95</v>
      </c>
      <c r="R6" s="62" t="s">
        <v>782</v>
      </c>
    </row>
    <row r="7" spans="1:18" ht="12" customHeight="1">
      <c r="A7" s="59" t="s">
        <v>488</v>
      </c>
      <c r="B7" s="63">
        <v>7.8</v>
      </c>
      <c r="C7" s="59"/>
      <c r="D7" s="63"/>
      <c r="E7" s="59"/>
      <c r="F7" s="63">
        <f>SUM(B7:E7)</f>
        <v>7.8</v>
      </c>
      <c r="G7" s="730"/>
      <c r="H7" s="63"/>
      <c r="I7" s="59"/>
      <c r="J7" s="63"/>
      <c r="K7" s="59"/>
      <c r="L7" s="63"/>
      <c r="M7" s="59"/>
      <c r="N7" s="63">
        <v>1</v>
      </c>
      <c r="O7" s="59"/>
      <c r="P7" s="63">
        <v>1</v>
      </c>
      <c r="Q7" s="801">
        <f>P7+F7</f>
        <v>8.8000000000000007</v>
      </c>
      <c r="R7" s="63">
        <v>83</v>
      </c>
    </row>
    <row r="8" spans="1:18" ht="12" customHeight="1">
      <c r="A8" s="59" t="s">
        <v>503</v>
      </c>
      <c r="B8" s="63">
        <v>45</v>
      </c>
      <c r="C8" s="59"/>
      <c r="D8" s="63">
        <v>11</v>
      </c>
      <c r="E8" s="59"/>
      <c r="F8" s="63">
        <f t="shared" ref="F8:F19" si="0">SUM(B8:E8)</f>
        <v>56</v>
      </c>
      <c r="G8" s="730"/>
      <c r="H8" s="63">
        <v>3</v>
      </c>
      <c r="I8" s="59"/>
      <c r="J8" s="63"/>
      <c r="K8" s="59">
        <v>1.5</v>
      </c>
      <c r="L8" s="63"/>
      <c r="M8" s="59"/>
      <c r="N8" s="63">
        <v>4</v>
      </c>
      <c r="O8" s="59"/>
      <c r="P8" s="63">
        <v>8.5</v>
      </c>
      <c r="Q8" s="801">
        <f t="shared" ref="Q8:Q20" si="1">P8+F8</f>
        <v>64.5</v>
      </c>
      <c r="R8" s="63">
        <v>1887</v>
      </c>
    </row>
    <row r="9" spans="1:18" ht="12" customHeight="1">
      <c r="A9" s="59" t="s">
        <v>46</v>
      </c>
      <c r="B9" s="63">
        <v>19.5</v>
      </c>
      <c r="C9" s="59"/>
      <c r="D9" s="63">
        <v>27</v>
      </c>
      <c r="E9" s="59"/>
      <c r="F9" s="63">
        <f t="shared" si="0"/>
        <v>46.5</v>
      </c>
      <c r="G9" s="730"/>
      <c r="H9" s="63"/>
      <c r="I9" s="59"/>
      <c r="J9" s="63"/>
      <c r="K9" s="59">
        <v>0.5</v>
      </c>
      <c r="L9" s="63"/>
      <c r="M9" s="59"/>
      <c r="N9" s="63">
        <v>3.5</v>
      </c>
      <c r="O9" s="59"/>
      <c r="P9" s="63">
        <v>4</v>
      </c>
      <c r="Q9" s="801">
        <f t="shared" si="1"/>
        <v>50.5</v>
      </c>
      <c r="R9" s="63">
        <v>899</v>
      </c>
    </row>
    <row r="10" spans="1:18" ht="12" customHeight="1">
      <c r="A10" s="59" t="s">
        <v>45</v>
      </c>
      <c r="B10" s="63">
        <v>51</v>
      </c>
      <c r="C10" s="59"/>
      <c r="D10" s="63">
        <v>70.7</v>
      </c>
      <c r="E10" s="59">
        <v>1</v>
      </c>
      <c r="F10" s="63">
        <f t="shared" si="0"/>
        <v>122.7</v>
      </c>
      <c r="G10" s="730"/>
      <c r="H10" s="63">
        <v>3</v>
      </c>
      <c r="I10" s="59"/>
      <c r="J10" s="63"/>
      <c r="K10" s="59">
        <v>2.5</v>
      </c>
      <c r="L10" s="63">
        <v>1</v>
      </c>
      <c r="M10" s="59"/>
      <c r="N10" s="63">
        <v>1.5</v>
      </c>
      <c r="O10" s="59"/>
      <c r="P10" s="63">
        <v>8</v>
      </c>
      <c r="Q10" s="801">
        <f t="shared" si="1"/>
        <v>130.69999999999999</v>
      </c>
      <c r="R10" s="63">
        <v>2231</v>
      </c>
    </row>
    <row r="11" spans="1:18" ht="12" customHeight="1">
      <c r="A11" s="59" t="s">
        <v>44</v>
      </c>
      <c r="B11" s="63"/>
      <c r="C11" s="59"/>
      <c r="D11" s="63">
        <v>4</v>
      </c>
      <c r="E11" s="59"/>
      <c r="F11" s="63">
        <f t="shared" si="0"/>
        <v>4</v>
      </c>
      <c r="G11" s="730"/>
      <c r="H11" s="63"/>
      <c r="I11" s="59"/>
      <c r="J11" s="63"/>
      <c r="K11" s="59"/>
      <c r="L11" s="63"/>
      <c r="M11" s="59"/>
      <c r="N11" s="63">
        <v>1</v>
      </c>
      <c r="O11" s="59"/>
      <c r="P11" s="63">
        <v>1</v>
      </c>
      <c r="Q11" s="801">
        <f t="shared" si="1"/>
        <v>5</v>
      </c>
      <c r="R11" s="63"/>
    </row>
    <row r="12" spans="1:18" ht="12" customHeight="1">
      <c r="A12" s="59" t="s">
        <v>42</v>
      </c>
      <c r="B12" s="63">
        <v>32</v>
      </c>
      <c r="C12" s="59"/>
      <c r="D12" s="63">
        <v>3</v>
      </c>
      <c r="E12" s="59"/>
      <c r="F12" s="63">
        <f t="shared" si="0"/>
        <v>35</v>
      </c>
      <c r="G12" s="730"/>
      <c r="H12" s="63">
        <v>1</v>
      </c>
      <c r="I12" s="59"/>
      <c r="J12" s="63"/>
      <c r="K12" s="59">
        <v>1</v>
      </c>
      <c r="L12" s="63"/>
      <c r="M12" s="59">
        <v>2</v>
      </c>
      <c r="N12" s="63">
        <v>4.3</v>
      </c>
      <c r="O12" s="59"/>
      <c r="P12" s="63">
        <v>8.3000000000000007</v>
      </c>
      <c r="Q12" s="801">
        <f t="shared" si="1"/>
        <v>43.3</v>
      </c>
      <c r="R12" s="63">
        <v>575</v>
      </c>
    </row>
    <row r="13" spans="1:18" ht="12" customHeight="1">
      <c r="A13" s="59" t="s">
        <v>41</v>
      </c>
      <c r="B13" s="63">
        <v>69</v>
      </c>
      <c r="C13" s="59"/>
      <c r="D13" s="63">
        <v>12</v>
      </c>
      <c r="E13" s="59"/>
      <c r="F13" s="63">
        <f t="shared" si="0"/>
        <v>81</v>
      </c>
      <c r="G13" s="730"/>
      <c r="H13" s="63">
        <v>2</v>
      </c>
      <c r="I13" s="59"/>
      <c r="J13" s="63"/>
      <c r="K13" s="59"/>
      <c r="L13" s="63">
        <v>6</v>
      </c>
      <c r="M13" s="59"/>
      <c r="N13" s="63">
        <v>2</v>
      </c>
      <c r="O13" s="59"/>
      <c r="P13" s="63">
        <v>10</v>
      </c>
      <c r="Q13" s="801">
        <f t="shared" si="1"/>
        <v>91</v>
      </c>
      <c r="R13" s="63">
        <v>2281</v>
      </c>
    </row>
    <row r="14" spans="1:18" ht="12" customHeight="1">
      <c r="A14" s="59" t="s">
        <v>40</v>
      </c>
      <c r="B14" s="63">
        <v>31</v>
      </c>
      <c r="C14" s="59"/>
      <c r="D14" s="63">
        <v>2</v>
      </c>
      <c r="E14" s="59"/>
      <c r="F14" s="63">
        <f t="shared" si="0"/>
        <v>33</v>
      </c>
      <c r="G14" s="730"/>
      <c r="H14" s="63">
        <v>5</v>
      </c>
      <c r="I14" s="59"/>
      <c r="J14" s="63"/>
      <c r="K14" s="59">
        <v>0.5</v>
      </c>
      <c r="L14" s="63">
        <v>1</v>
      </c>
      <c r="M14" s="59"/>
      <c r="N14" s="63"/>
      <c r="O14" s="59"/>
      <c r="P14" s="63">
        <v>6.5</v>
      </c>
      <c r="Q14" s="801">
        <f t="shared" si="1"/>
        <v>39.5</v>
      </c>
      <c r="R14" s="63">
        <v>1704</v>
      </c>
    </row>
    <row r="15" spans="1:18" ht="12" customHeight="1">
      <c r="A15" s="59" t="s">
        <v>216</v>
      </c>
      <c r="B15" s="63">
        <v>4</v>
      </c>
      <c r="C15" s="59">
        <v>93.7</v>
      </c>
      <c r="D15" s="63">
        <v>1</v>
      </c>
      <c r="E15" s="59"/>
      <c r="F15" s="63">
        <f t="shared" si="0"/>
        <v>98.7</v>
      </c>
      <c r="G15" s="730"/>
      <c r="H15" s="63"/>
      <c r="I15" s="59">
        <v>62</v>
      </c>
      <c r="J15" s="63">
        <v>4.5</v>
      </c>
      <c r="K15" s="59"/>
      <c r="L15" s="63"/>
      <c r="M15" s="59"/>
      <c r="N15" s="63">
        <v>0.5</v>
      </c>
      <c r="O15" s="59"/>
      <c r="P15" s="63">
        <v>67</v>
      </c>
      <c r="Q15" s="801">
        <f t="shared" si="1"/>
        <v>165.7</v>
      </c>
      <c r="R15" s="63">
        <v>3129</v>
      </c>
    </row>
    <row r="16" spans="1:18" ht="12" customHeight="1">
      <c r="A16" s="59" t="s">
        <v>302</v>
      </c>
      <c r="B16" s="63">
        <v>105.5</v>
      </c>
      <c r="C16" s="59"/>
      <c r="D16" s="63">
        <v>20</v>
      </c>
      <c r="E16" s="59"/>
      <c r="F16" s="63">
        <f t="shared" si="0"/>
        <v>125.5</v>
      </c>
      <c r="G16" s="730"/>
      <c r="H16" s="63">
        <v>3</v>
      </c>
      <c r="I16" s="59"/>
      <c r="J16" s="63"/>
      <c r="K16" s="59"/>
      <c r="L16" s="63">
        <v>1</v>
      </c>
      <c r="M16" s="59">
        <v>1</v>
      </c>
      <c r="N16" s="63">
        <v>5</v>
      </c>
      <c r="O16" s="59"/>
      <c r="P16" s="63">
        <v>10</v>
      </c>
      <c r="Q16" s="801">
        <f t="shared" si="1"/>
        <v>135.5</v>
      </c>
      <c r="R16" s="63">
        <v>3214</v>
      </c>
    </row>
    <row r="17" spans="1:18" ht="12" customHeight="1">
      <c r="A17" s="59" t="s">
        <v>39</v>
      </c>
      <c r="B17" s="63">
        <v>30.8</v>
      </c>
      <c r="C17" s="59"/>
      <c r="D17" s="63">
        <v>4</v>
      </c>
      <c r="E17" s="59"/>
      <c r="F17" s="63">
        <f t="shared" si="0"/>
        <v>34.799999999999997</v>
      </c>
      <c r="G17" s="730"/>
      <c r="H17" s="63">
        <v>4</v>
      </c>
      <c r="I17" s="59"/>
      <c r="J17" s="63"/>
      <c r="K17" s="59">
        <v>0.5</v>
      </c>
      <c r="L17" s="63"/>
      <c r="M17" s="59"/>
      <c r="N17" s="63">
        <v>2</v>
      </c>
      <c r="O17" s="59"/>
      <c r="P17" s="63">
        <v>6.5</v>
      </c>
      <c r="Q17" s="801">
        <f t="shared" si="1"/>
        <v>41.3</v>
      </c>
      <c r="R17" s="63">
        <v>1783</v>
      </c>
    </row>
    <row r="18" spans="1:18" ht="12" customHeight="1">
      <c r="A18" s="59" t="s">
        <v>43</v>
      </c>
      <c r="B18" s="63"/>
      <c r="C18" s="59"/>
      <c r="D18" s="63">
        <v>8</v>
      </c>
      <c r="E18" s="59"/>
      <c r="F18" s="63">
        <f t="shared" si="0"/>
        <v>8</v>
      </c>
      <c r="G18" s="730"/>
      <c r="H18" s="63"/>
      <c r="I18" s="59"/>
      <c r="J18" s="63"/>
      <c r="K18" s="59"/>
      <c r="L18" s="63"/>
      <c r="M18" s="59"/>
      <c r="N18" s="63"/>
      <c r="O18" s="59"/>
      <c r="P18" s="63"/>
      <c r="Q18" s="801">
        <f t="shared" si="1"/>
        <v>8</v>
      </c>
      <c r="R18" s="63"/>
    </row>
    <row r="19" spans="1:18" ht="12" customHeight="1">
      <c r="A19" s="59" t="s">
        <v>742</v>
      </c>
      <c r="B19" s="63"/>
      <c r="C19" s="59"/>
      <c r="D19" s="63">
        <v>1</v>
      </c>
      <c r="E19" s="59"/>
      <c r="F19" s="63">
        <f t="shared" si="0"/>
        <v>1</v>
      </c>
      <c r="G19" s="730"/>
      <c r="H19" s="63"/>
      <c r="I19" s="59"/>
      <c r="J19" s="63"/>
      <c r="K19" s="59"/>
      <c r="L19" s="63"/>
      <c r="M19" s="59"/>
      <c r="N19" s="63"/>
      <c r="O19" s="59"/>
      <c r="P19" s="63"/>
      <c r="Q19" s="801">
        <f t="shared" si="1"/>
        <v>1</v>
      </c>
      <c r="R19" s="63"/>
    </row>
    <row r="20" spans="1:18" ht="12" customHeight="1">
      <c r="A20" s="59" t="s">
        <v>522</v>
      </c>
      <c r="B20" s="63"/>
      <c r="C20" s="59"/>
      <c r="D20" s="63"/>
      <c r="E20" s="59"/>
      <c r="F20" s="63"/>
      <c r="G20" s="730"/>
      <c r="H20" s="63"/>
      <c r="I20" s="59"/>
      <c r="J20" s="63"/>
      <c r="K20" s="59"/>
      <c r="L20" s="63"/>
      <c r="M20" s="59"/>
      <c r="N20" s="63"/>
      <c r="O20" s="59">
        <v>53.3</v>
      </c>
      <c r="P20" s="63">
        <v>53.3</v>
      </c>
      <c r="Q20" s="801">
        <f t="shared" si="1"/>
        <v>53.3</v>
      </c>
      <c r="R20" s="63"/>
    </row>
    <row r="21" spans="1:18" ht="12" customHeight="1">
      <c r="A21" s="61" t="s">
        <v>47</v>
      </c>
      <c r="B21" s="44">
        <f t="shared" ref="B21" si="2">SUM(B7:B20)</f>
        <v>395.6</v>
      </c>
      <c r="C21" s="44">
        <f t="shared" ref="C21" si="3">SUM(C7:C20)</f>
        <v>93.7</v>
      </c>
      <c r="D21" s="44">
        <f>SUM(D7:D20)</f>
        <v>163.69999999999999</v>
      </c>
      <c r="E21" s="44">
        <f>SUM(E7:E20)</f>
        <v>1</v>
      </c>
      <c r="F21" s="44">
        <f>SUM(B21:E21)</f>
        <v>654</v>
      </c>
      <c r="G21" s="731"/>
      <c r="H21" s="44">
        <f>SUM(H7:H20)</f>
        <v>21</v>
      </c>
      <c r="I21" s="44">
        <f t="shared" ref="I21" si="4">SUM(I7:I20)</f>
        <v>62</v>
      </c>
      <c r="J21" s="44">
        <f t="shared" ref="J21" si="5">SUM(J7:J20)</f>
        <v>4.5</v>
      </c>
      <c r="K21" s="44">
        <f t="shared" ref="K21" si="6">SUM(K7:K20)</f>
        <v>6.5</v>
      </c>
      <c r="L21" s="44">
        <f t="shared" ref="L21" si="7">SUM(L7:L20)</f>
        <v>9</v>
      </c>
      <c r="M21" s="44">
        <f t="shared" ref="M21" si="8">SUM(M7:M20)</f>
        <v>3</v>
      </c>
      <c r="N21" s="44">
        <f t="shared" ref="N21" si="9">SUM(N7:N20)</f>
        <v>24.8</v>
      </c>
      <c r="O21" s="44">
        <f t="shared" ref="O21" si="10">SUM(O7:O20)</f>
        <v>53.3</v>
      </c>
      <c r="P21" s="44">
        <f t="shared" ref="P21" si="11">SUM(P7:P20)</f>
        <v>184.10000000000002</v>
      </c>
      <c r="Q21" s="802">
        <f>SUM(Q7:Q20)</f>
        <v>838.09999999999991</v>
      </c>
      <c r="R21" s="53">
        <f>SUM(R7:R20)</f>
        <v>17786</v>
      </c>
    </row>
    <row r="22" spans="1:18" ht="12" customHeight="1">
      <c r="F22" s="57"/>
      <c r="G22" s="57"/>
      <c r="O22" s="57"/>
      <c r="P22" s="57"/>
    </row>
    <row r="23" spans="1:18" ht="12.75">
      <c r="B23" s="1527" t="s">
        <v>55</v>
      </c>
      <c r="C23" s="1527"/>
      <c r="D23" s="1527"/>
      <c r="E23" s="1527"/>
      <c r="F23" s="1527"/>
      <c r="G23" s="60"/>
      <c r="H23" s="1527" t="s">
        <v>54</v>
      </c>
      <c r="I23" s="1527"/>
      <c r="J23" s="1527"/>
      <c r="K23" s="1527"/>
      <c r="L23" s="1527"/>
      <c r="M23" s="1527"/>
      <c r="N23" s="1527"/>
      <c r="O23" s="1527"/>
      <c r="P23" s="1527"/>
      <c r="Q23" s="1527"/>
      <c r="R23" s="1527"/>
    </row>
    <row r="24" spans="1:18" ht="2.65" customHeight="1"/>
    <row r="25" spans="1:18" ht="30" customHeight="1">
      <c r="A25" s="64">
        <v>44561</v>
      </c>
      <c r="B25" s="62" t="s">
        <v>97</v>
      </c>
      <c r="C25" s="33" t="s">
        <v>98</v>
      </c>
      <c r="D25" s="62" t="s">
        <v>53</v>
      </c>
      <c r="E25" s="33" t="s">
        <v>52</v>
      </c>
      <c r="F25" s="62" t="s">
        <v>47</v>
      </c>
      <c r="G25" s="33"/>
      <c r="H25" s="62" t="s">
        <v>25</v>
      </c>
      <c r="I25" s="33" t="s">
        <v>98</v>
      </c>
      <c r="J25" s="62" t="s">
        <v>51</v>
      </c>
      <c r="K25" s="33" t="s">
        <v>50</v>
      </c>
      <c r="L25" s="62" t="s">
        <v>49</v>
      </c>
      <c r="M25" s="33" t="s">
        <v>674</v>
      </c>
      <c r="N25" s="62" t="s">
        <v>545</v>
      </c>
      <c r="O25" s="33" t="s">
        <v>546</v>
      </c>
      <c r="P25" s="62" t="s">
        <v>47</v>
      </c>
      <c r="Q25" s="135" t="s">
        <v>95</v>
      </c>
      <c r="R25" s="62" t="s">
        <v>782</v>
      </c>
    </row>
    <row r="26" spans="1:18" ht="12" customHeight="1">
      <c r="A26" s="59" t="s">
        <v>488</v>
      </c>
      <c r="B26" s="63">
        <v>7.8</v>
      </c>
      <c r="C26" s="59"/>
      <c r="D26" s="63"/>
      <c r="E26" s="59"/>
      <c r="F26" s="63">
        <f>SUM(B26:E26)</f>
        <v>7.8</v>
      </c>
      <c r="G26" s="730"/>
      <c r="H26" s="63"/>
      <c r="I26" s="59"/>
      <c r="J26" s="63"/>
      <c r="K26" s="59"/>
      <c r="L26" s="63"/>
      <c r="M26" s="59"/>
      <c r="N26" s="63">
        <v>1</v>
      </c>
      <c r="O26" s="59"/>
      <c r="P26" s="63">
        <f>SUM(H26:O26)</f>
        <v>1</v>
      </c>
      <c r="Q26" s="801">
        <f>P26+F26</f>
        <v>8.8000000000000007</v>
      </c>
      <c r="R26" s="63">
        <v>75</v>
      </c>
    </row>
    <row r="27" spans="1:18" ht="12" customHeight="1">
      <c r="A27" s="59" t="s">
        <v>503</v>
      </c>
      <c r="B27" s="63">
        <v>44</v>
      </c>
      <c r="C27" s="59"/>
      <c r="D27" s="63">
        <v>11</v>
      </c>
      <c r="E27" s="59"/>
      <c r="F27" s="63">
        <f t="shared" ref="F27:F38" si="12">SUM(B27:E27)</f>
        <v>55</v>
      </c>
      <c r="G27" s="730"/>
      <c r="H27" s="63">
        <v>4</v>
      </c>
      <c r="I27" s="59"/>
      <c r="J27" s="63"/>
      <c r="K27" s="59">
        <v>1</v>
      </c>
      <c r="L27" s="63"/>
      <c r="M27" s="59"/>
      <c r="N27" s="63">
        <v>5</v>
      </c>
      <c r="O27" s="59"/>
      <c r="P27" s="63">
        <f t="shared" ref="P27:P39" si="13">SUM(H27:O27)</f>
        <v>10</v>
      </c>
      <c r="Q27" s="801">
        <f t="shared" ref="Q27:Q39" si="14">P27+F27</f>
        <v>65</v>
      </c>
      <c r="R27" s="63">
        <v>1982</v>
      </c>
    </row>
    <row r="28" spans="1:18" ht="12" customHeight="1">
      <c r="A28" s="59" t="s">
        <v>46</v>
      </c>
      <c r="B28" s="63">
        <v>20.5</v>
      </c>
      <c r="C28" s="59"/>
      <c r="D28" s="63">
        <v>24</v>
      </c>
      <c r="E28" s="59"/>
      <c r="F28" s="63">
        <f t="shared" si="12"/>
        <v>44.5</v>
      </c>
      <c r="G28" s="730"/>
      <c r="H28" s="63"/>
      <c r="I28" s="59"/>
      <c r="J28" s="63"/>
      <c r="K28" s="59">
        <v>0.5</v>
      </c>
      <c r="L28" s="63"/>
      <c r="M28" s="59"/>
      <c r="N28" s="63">
        <v>4.5</v>
      </c>
      <c r="O28" s="59"/>
      <c r="P28" s="63">
        <f t="shared" si="13"/>
        <v>5</v>
      </c>
      <c r="Q28" s="801">
        <f t="shared" si="14"/>
        <v>49.5</v>
      </c>
      <c r="R28" s="63">
        <v>814</v>
      </c>
    </row>
    <row r="29" spans="1:18" ht="12" customHeight="1">
      <c r="A29" s="58" t="s">
        <v>45</v>
      </c>
      <c r="B29" s="63">
        <v>50</v>
      </c>
      <c r="C29" s="59"/>
      <c r="D29" s="63">
        <v>70.5</v>
      </c>
      <c r="E29" s="59"/>
      <c r="F29" s="63">
        <f t="shared" si="12"/>
        <v>120.5</v>
      </c>
      <c r="G29" s="730"/>
      <c r="H29" s="63">
        <v>1</v>
      </c>
      <c r="I29" s="59"/>
      <c r="J29" s="63"/>
      <c r="K29" s="59">
        <v>2.5</v>
      </c>
      <c r="L29" s="63">
        <v>1</v>
      </c>
      <c r="M29" s="59">
        <v>1</v>
      </c>
      <c r="N29" s="63">
        <v>2.5</v>
      </c>
      <c r="O29" s="59"/>
      <c r="P29" s="63">
        <f t="shared" si="13"/>
        <v>8</v>
      </c>
      <c r="Q29" s="801">
        <f t="shared" si="14"/>
        <v>128.5</v>
      </c>
      <c r="R29" s="63">
        <v>1982</v>
      </c>
    </row>
    <row r="30" spans="1:18" ht="12" customHeight="1">
      <c r="A30" s="59" t="s">
        <v>44</v>
      </c>
      <c r="B30" s="63"/>
      <c r="C30" s="59"/>
      <c r="D30" s="63">
        <v>4</v>
      </c>
      <c r="E30" s="59"/>
      <c r="F30" s="63">
        <f t="shared" si="12"/>
        <v>4</v>
      </c>
      <c r="G30" s="730"/>
      <c r="H30" s="63"/>
      <c r="I30" s="59"/>
      <c r="J30" s="63"/>
      <c r="K30" s="59"/>
      <c r="L30" s="63"/>
      <c r="M30" s="59"/>
      <c r="N30" s="63">
        <v>1</v>
      </c>
      <c r="O30" s="59"/>
      <c r="P30" s="63">
        <f t="shared" si="13"/>
        <v>1</v>
      </c>
      <c r="Q30" s="801">
        <f t="shared" si="14"/>
        <v>5</v>
      </c>
      <c r="R30" s="63"/>
    </row>
    <row r="31" spans="1:18" ht="12" customHeight="1">
      <c r="A31" s="59" t="s">
        <v>42</v>
      </c>
      <c r="B31" s="63">
        <v>30.8</v>
      </c>
      <c r="C31" s="59"/>
      <c r="D31" s="63">
        <v>3.5</v>
      </c>
      <c r="E31" s="59"/>
      <c r="F31" s="63">
        <f t="shared" si="12"/>
        <v>34.299999999999997</v>
      </c>
      <c r="G31" s="730"/>
      <c r="H31" s="63">
        <v>3</v>
      </c>
      <c r="I31" s="59"/>
      <c r="J31" s="63"/>
      <c r="K31" s="59">
        <v>1</v>
      </c>
      <c r="L31" s="63"/>
      <c r="M31" s="59">
        <v>1</v>
      </c>
      <c r="N31" s="63">
        <v>4.8</v>
      </c>
      <c r="O31" s="59"/>
      <c r="P31" s="63">
        <f t="shared" si="13"/>
        <v>9.8000000000000007</v>
      </c>
      <c r="Q31" s="801">
        <f t="shared" si="14"/>
        <v>44.099999999999994</v>
      </c>
      <c r="R31" s="63">
        <v>586</v>
      </c>
    </row>
    <row r="32" spans="1:18" ht="12" customHeight="1">
      <c r="A32" s="59" t="s">
        <v>41</v>
      </c>
      <c r="B32" s="63">
        <v>70</v>
      </c>
      <c r="C32" s="59"/>
      <c r="D32" s="63">
        <v>11</v>
      </c>
      <c r="E32" s="59"/>
      <c r="F32" s="63">
        <f t="shared" si="12"/>
        <v>81</v>
      </c>
      <c r="G32" s="730"/>
      <c r="H32" s="63">
        <v>4</v>
      </c>
      <c r="I32" s="59"/>
      <c r="J32" s="63"/>
      <c r="K32" s="59"/>
      <c r="L32" s="63">
        <v>6</v>
      </c>
      <c r="M32" s="59"/>
      <c r="N32" s="63">
        <v>1</v>
      </c>
      <c r="O32" s="59"/>
      <c r="P32" s="63">
        <f t="shared" si="13"/>
        <v>11</v>
      </c>
      <c r="Q32" s="801">
        <f t="shared" si="14"/>
        <v>92</v>
      </c>
      <c r="R32" s="63">
        <v>2165</v>
      </c>
    </row>
    <row r="33" spans="1:28" ht="12" customHeight="1">
      <c r="A33" s="59" t="s">
        <v>40</v>
      </c>
      <c r="B33" s="63">
        <v>30</v>
      </c>
      <c r="C33" s="59"/>
      <c r="D33" s="63">
        <v>2</v>
      </c>
      <c r="E33" s="59"/>
      <c r="F33" s="63">
        <f t="shared" si="12"/>
        <v>32</v>
      </c>
      <c r="G33" s="730"/>
      <c r="H33" s="63">
        <v>5</v>
      </c>
      <c r="I33" s="59"/>
      <c r="J33" s="63"/>
      <c r="K33" s="59">
        <v>0.5</v>
      </c>
      <c r="L33" s="63">
        <v>1</v>
      </c>
      <c r="M33" s="59"/>
      <c r="N33" s="63"/>
      <c r="O33" s="59"/>
      <c r="P33" s="63">
        <f t="shared" si="13"/>
        <v>6.5</v>
      </c>
      <c r="Q33" s="801">
        <f t="shared" si="14"/>
        <v>38.5</v>
      </c>
      <c r="R33" s="63">
        <v>2009</v>
      </c>
    </row>
    <row r="34" spans="1:28" ht="12" customHeight="1">
      <c r="A34" s="59" t="s">
        <v>216</v>
      </c>
      <c r="B34" s="63">
        <v>4</v>
      </c>
      <c r="C34" s="59">
        <v>90</v>
      </c>
      <c r="D34" s="63">
        <v>1</v>
      </c>
      <c r="E34" s="59"/>
      <c r="F34" s="63">
        <f t="shared" si="12"/>
        <v>95</v>
      </c>
      <c r="G34" s="730"/>
      <c r="H34" s="63"/>
      <c r="I34" s="59">
        <v>55</v>
      </c>
      <c r="J34" s="63">
        <v>4.5</v>
      </c>
      <c r="K34" s="59"/>
      <c r="L34" s="63"/>
      <c r="M34" s="59"/>
      <c r="N34" s="63">
        <v>0.5</v>
      </c>
      <c r="O34" s="59">
        <v>1</v>
      </c>
      <c r="P34" s="63">
        <f t="shared" si="13"/>
        <v>61</v>
      </c>
      <c r="Q34" s="801">
        <f t="shared" si="14"/>
        <v>156</v>
      </c>
      <c r="R34" s="63">
        <v>2925</v>
      </c>
    </row>
    <row r="35" spans="1:28" ht="12" customHeight="1">
      <c r="A35" s="58" t="s">
        <v>302</v>
      </c>
      <c r="B35" s="63">
        <v>104.5</v>
      </c>
      <c r="C35" s="59"/>
      <c r="D35" s="63">
        <v>20.8</v>
      </c>
      <c r="E35" s="59"/>
      <c r="F35" s="63">
        <f t="shared" si="12"/>
        <v>125.3</v>
      </c>
      <c r="G35" s="730"/>
      <c r="H35" s="63">
        <v>3</v>
      </c>
      <c r="I35" s="59"/>
      <c r="J35" s="63"/>
      <c r="K35" s="59">
        <v>1</v>
      </c>
      <c r="L35" s="63">
        <v>1</v>
      </c>
      <c r="M35" s="59">
        <v>1</v>
      </c>
      <c r="N35" s="63">
        <v>5.2</v>
      </c>
      <c r="O35" s="59"/>
      <c r="P35" s="63">
        <f t="shared" si="13"/>
        <v>11.2</v>
      </c>
      <c r="Q35" s="801">
        <f t="shared" si="14"/>
        <v>136.5</v>
      </c>
      <c r="R35" s="63">
        <v>3396</v>
      </c>
    </row>
    <row r="36" spans="1:28" ht="12" customHeight="1">
      <c r="A36" s="59" t="s">
        <v>39</v>
      </c>
      <c r="B36" s="63">
        <v>31.3</v>
      </c>
      <c r="C36" s="59"/>
      <c r="D36" s="63">
        <v>4</v>
      </c>
      <c r="E36" s="59"/>
      <c r="F36" s="63">
        <f t="shared" si="12"/>
        <v>35.299999999999997</v>
      </c>
      <c r="G36" s="730"/>
      <c r="H36" s="63">
        <v>4</v>
      </c>
      <c r="I36" s="59"/>
      <c r="J36" s="63"/>
      <c r="K36" s="59">
        <v>0.5</v>
      </c>
      <c r="L36" s="63"/>
      <c r="M36" s="59"/>
      <c r="N36" s="63">
        <v>1</v>
      </c>
      <c r="O36" s="59"/>
      <c r="P36" s="63">
        <f t="shared" si="13"/>
        <v>5.5</v>
      </c>
      <c r="Q36" s="801">
        <f t="shared" si="14"/>
        <v>40.799999999999997</v>
      </c>
      <c r="R36" s="63">
        <v>1779</v>
      </c>
    </row>
    <row r="37" spans="1:28" ht="12" customHeight="1">
      <c r="A37" s="58" t="s">
        <v>43</v>
      </c>
      <c r="B37" s="63"/>
      <c r="C37" s="59"/>
      <c r="D37" s="63">
        <v>8</v>
      </c>
      <c r="E37" s="59"/>
      <c r="F37" s="63">
        <f t="shared" si="12"/>
        <v>8</v>
      </c>
      <c r="G37" s="730"/>
      <c r="H37" s="63"/>
      <c r="I37" s="59"/>
      <c r="J37" s="63"/>
      <c r="K37" s="59"/>
      <c r="L37" s="63"/>
      <c r="M37" s="59"/>
      <c r="N37" s="63"/>
      <c r="O37" s="59"/>
      <c r="P37" s="63"/>
      <c r="Q37" s="801">
        <f t="shared" si="14"/>
        <v>8</v>
      </c>
      <c r="R37" s="63"/>
    </row>
    <row r="38" spans="1:28" ht="12" customHeight="1">
      <c r="A38" s="58" t="s">
        <v>742</v>
      </c>
      <c r="B38" s="63"/>
      <c r="C38" s="59"/>
      <c r="D38" s="63">
        <v>1</v>
      </c>
      <c r="E38" s="59"/>
      <c r="F38" s="63">
        <f t="shared" si="12"/>
        <v>1</v>
      </c>
      <c r="G38" s="730"/>
      <c r="H38" s="63"/>
      <c r="I38" s="59"/>
      <c r="J38" s="63"/>
      <c r="K38" s="59"/>
      <c r="L38" s="63"/>
      <c r="M38" s="59"/>
      <c r="N38" s="63"/>
      <c r="O38" s="59"/>
      <c r="P38" s="63"/>
      <c r="Q38" s="801">
        <f t="shared" si="14"/>
        <v>1</v>
      </c>
      <c r="R38" s="63"/>
    </row>
    <row r="39" spans="1:28" ht="12" customHeight="1">
      <c r="A39" s="58" t="s">
        <v>522</v>
      </c>
      <c r="B39" s="63"/>
      <c r="C39" s="59"/>
      <c r="D39" s="63"/>
      <c r="E39" s="59"/>
      <c r="F39" s="63"/>
      <c r="G39" s="730"/>
      <c r="H39" s="63"/>
      <c r="I39" s="59"/>
      <c r="J39" s="63"/>
      <c r="K39" s="59"/>
      <c r="L39" s="63"/>
      <c r="M39" s="59"/>
      <c r="N39" s="63"/>
      <c r="O39" s="59">
        <v>63.4</v>
      </c>
      <c r="P39" s="63">
        <f t="shared" si="13"/>
        <v>63.4</v>
      </c>
      <c r="Q39" s="801">
        <f t="shared" si="14"/>
        <v>63.4</v>
      </c>
      <c r="R39" s="63"/>
    </row>
    <row r="40" spans="1:28" ht="12" customHeight="1">
      <c r="A40" s="61" t="s">
        <v>47</v>
      </c>
      <c r="B40" s="44">
        <f t="shared" ref="B40:C40" si="15">SUM(B26:B39)</f>
        <v>392.90000000000003</v>
      </c>
      <c r="C40" s="44">
        <f t="shared" si="15"/>
        <v>90</v>
      </c>
      <c r="D40" s="44">
        <f>SUM(D26:D39)</f>
        <v>160.80000000000001</v>
      </c>
      <c r="E40" s="44">
        <f>SUM(E26:E39)</f>
        <v>0</v>
      </c>
      <c r="F40" s="44">
        <f>SUM(B40:E40)</f>
        <v>643.70000000000005</v>
      </c>
      <c r="G40" s="731"/>
      <c r="H40" s="44">
        <f>SUM(H26:H39)</f>
        <v>24</v>
      </c>
      <c r="I40" s="44">
        <f t="shared" ref="I40:P40" si="16">SUM(I26:I39)</f>
        <v>55</v>
      </c>
      <c r="J40" s="44">
        <f t="shared" si="16"/>
        <v>4.5</v>
      </c>
      <c r="K40" s="44">
        <f t="shared" si="16"/>
        <v>7</v>
      </c>
      <c r="L40" s="44">
        <f t="shared" si="16"/>
        <v>9</v>
      </c>
      <c r="M40" s="44">
        <f t="shared" si="16"/>
        <v>3</v>
      </c>
      <c r="N40" s="44">
        <f t="shared" si="16"/>
        <v>26.5</v>
      </c>
      <c r="O40" s="44">
        <f t="shared" si="16"/>
        <v>64.400000000000006</v>
      </c>
      <c r="P40" s="44">
        <f t="shared" si="16"/>
        <v>193.4</v>
      </c>
      <c r="Q40" s="802">
        <f>SUM(Q26:Q39)</f>
        <v>837.09999999999991</v>
      </c>
      <c r="R40" s="53">
        <f>SUM(R26:R39)</f>
        <v>17713</v>
      </c>
    </row>
    <row r="41" spans="1:28" ht="12" customHeight="1">
      <c r="F41" s="57"/>
      <c r="G41" s="57"/>
      <c r="O41" s="57"/>
      <c r="P41" s="57"/>
    </row>
    <row r="42" spans="1:28" ht="12" customHeight="1">
      <c r="B42" s="1527" t="s">
        <v>55</v>
      </c>
      <c r="C42" s="1527"/>
      <c r="D42" s="1527"/>
      <c r="E42" s="1527"/>
      <c r="F42" s="1527"/>
      <c r="G42" s="60"/>
      <c r="H42" s="1527" t="s">
        <v>54</v>
      </c>
      <c r="I42" s="1527"/>
      <c r="J42" s="1527"/>
      <c r="K42" s="1527"/>
      <c r="L42" s="1527"/>
      <c r="M42" s="1527"/>
      <c r="N42" s="1527"/>
      <c r="O42" s="1527"/>
      <c r="P42" s="1527"/>
      <c r="Q42" s="1527"/>
      <c r="R42" s="1527"/>
    </row>
    <row r="43" spans="1:28" ht="3.6" customHeight="1"/>
    <row r="44" spans="1:28" ht="27.75" customHeight="1">
      <c r="A44" s="64">
        <v>44926</v>
      </c>
      <c r="B44" s="62" t="s">
        <v>97</v>
      </c>
      <c r="C44" s="33" t="s">
        <v>98</v>
      </c>
      <c r="D44" s="62" t="s">
        <v>53</v>
      </c>
      <c r="E44" s="33" t="s">
        <v>52</v>
      </c>
      <c r="F44" s="62" t="s">
        <v>47</v>
      </c>
      <c r="G44" s="33"/>
      <c r="H44" s="62" t="s">
        <v>25</v>
      </c>
      <c r="I44" s="33" t="s">
        <v>98</v>
      </c>
      <c r="J44" s="62" t="s">
        <v>51</v>
      </c>
      <c r="K44" s="33" t="s">
        <v>50</v>
      </c>
      <c r="L44" s="62" t="s">
        <v>49</v>
      </c>
      <c r="M44" s="33" t="s">
        <v>674</v>
      </c>
      <c r="N44" s="62" t="s">
        <v>545</v>
      </c>
      <c r="O44" s="33" t="s">
        <v>855</v>
      </c>
      <c r="P44" s="62" t="s">
        <v>47</v>
      </c>
      <c r="Q44" s="135" t="s">
        <v>95</v>
      </c>
      <c r="R44" s="62" t="s">
        <v>782</v>
      </c>
      <c r="X44" s="57" t="s">
        <v>857</v>
      </c>
    </row>
    <row r="45" spans="1:28" ht="12" customHeight="1">
      <c r="A45" s="59" t="s">
        <v>488</v>
      </c>
      <c r="B45" s="1230">
        <v>6.8</v>
      </c>
      <c r="C45" s="1231"/>
      <c r="D45" s="63"/>
      <c r="E45" s="59"/>
      <c r="F45" s="1232">
        <f t="shared" ref="F45:F58" si="17">SUM(B45:E45)</f>
        <v>6.8</v>
      </c>
      <c r="G45" s="730"/>
      <c r="H45" s="1230">
        <v>1</v>
      </c>
      <c r="I45" s="1413"/>
      <c r="J45" s="1412"/>
      <c r="K45" s="1231"/>
      <c r="L45" s="1230"/>
      <c r="M45" s="1231"/>
      <c r="N45" s="1230">
        <v>1</v>
      </c>
      <c r="O45" s="1413"/>
      <c r="P45" s="1232">
        <f>SUM(H45:O45)</f>
        <v>2</v>
      </c>
      <c r="Q45" s="801">
        <f t="shared" ref="Q45:Q59" si="18">F45+P45</f>
        <v>8.8000000000000007</v>
      </c>
      <c r="R45" s="1230">
        <v>84</v>
      </c>
    </row>
    <row r="46" spans="1:28">
      <c r="A46" s="59" t="s">
        <v>503</v>
      </c>
      <c r="B46" s="1230">
        <v>26</v>
      </c>
      <c r="C46" s="1231"/>
      <c r="D46" s="1230">
        <v>10</v>
      </c>
      <c r="E46" s="59"/>
      <c r="F46" s="1232">
        <f t="shared" si="17"/>
        <v>36</v>
      </c>
      <c r="G46" s="730"/>
      <c r="H46" s="1230">
        <v>2</v>
      </c>
      <c r="I46" s="1413"/>
      <c r="J46" s="1412"/>
      <c r="K46" s="1231">
        <v>0.5</v>
      </c>
      <c r="L46" s="1230"/>
      <c r="M46" s="1231"/>
      <c r="N46" s="1230">
        <v>3.5</v>
      </c>
      <c r="O46" s="1413"/>
      <c r="P46" s="1232">
        <f t="shared" ref="P46:P59" si="19">SUM(H46:O46)</f>
        <v>6</v>
      </c>
      <c r="Q46" s="801">
        <f t="shared" si="18"/>
        <v>42</v>
      </c>
      <c r="R46" s="1230">
        <v>1196</v>
      </c>
      <c r="Y46" s="1151" t="s">
        <v>966</v>
      </c>
      <c r="Z46" s="1152" t="s">
        <v>1007</v>
      </c>
      <c r="AA46" s="1151" t="s">
        <v>1008</v>
      </c>
      <c r="AB46" s="1152" t="s">
        <v>856</v>
      </c>
    </row>
    <row r="47" spans="1:28">
      <c r="A47" s="59" t="s">
        <v>1006</v>
      </c>
      <c r="B47" s="1230">
        <v>17</v>
      </c>
      <c r="C47" s="1231"/>
      <c r="D47" s="1230"/>
      <c r="E47" s="59"/>
      <c r="F47" s="1232">
        <f t="shared" si="17"/>
        <v>17</v>
      </c>
      <c r="G47" s="730"/>
      <c r="H47" s="1230">
        <v>3</v>
      </c>
      <c r="I47" s="1413"/>
      <c r="J47" s="1412"/>
      <c r="K47" s="1231">
        <v>0.5</v>
      </c>
      <c r="L47" s="1230"/>
      <c r="M47" s="1231">
        <v>1</v>
      </c>
      <c r="N47" s="1230"/>
      <c r="O47" s="1413"/>
      <c r="P47" s="1232">
        <f t="shared" si="19"/>
        <v>4.5</v>
      </c>
      <c r="Q47" s="801">
        <f t="shared" si="18"/>
        <v>21.5</v>
      </c>
      <c r="R47" s="1230">
        <v>252</v>
      </c>
      <c r="Y47" s="1151"/>
      <c r="Z47" s="1152"/>
      <c r="AA47" s="1151"/>
      <c r="AB47" s="1152"/>
    </row>
    <row r="48" spans="1:28" ht="12" customHeight="1">
      <c r="A48" s="59" t="s">
        <v>46</v>
      </c>
      <c r="B48" s="1230">
        <v>22.5</v>
      </c>
      <c r="C48" s="1231"/>
      <c r="D48" s="1230">
        <v>30.8</v>
      </c>
      <c r="E48" s="59"/>
      <c r="F48" s="1232">
        <f t="shared" si="17"/>
        <v>53.3</v>
      </c>
      <c r="G48" s="730"/>
      <c r="H48" s="1230">
        <v>2</v>
      </c>
      <c r="I48" s="1413"/>
      <c r="J48" s="1412"/>
      <c r="K48" s="1231">
        <v>1</v>
      </c>
      <c r="L48" s="1230"/>
      <c r="M48" s="1231">
        <v>2</v>
      </c>
      <c r="N48" s="1230">
        <v>8.5</v>
      </c>
      <c r="O48" s="1413"/>
      <c r="P48" s="1232">
        <f t="shared" si="19"/>
        <v>13.5</v>
      </c>
      <c r="Q48" s="801">
        <f t="shared" si="18"/>
        <v>66.8</v>
      </c>
      <c r="R48" s="1230">
        <v>1540</v>
      </c>
      <c r="X48" s="59" t="s">
        <v>488</v>
      </c>
      <c r="Y48" s="1149">
        <v>83</v>
      </c>
      <c r="Z48" s="140">
        <v>75</v>
      </c>
      <c r="AA48" s="1149">
        <v>84</v>
      </c>
      <c r="AB48" s="1153">
        <f t="shared" ref="AB48:AB58" si="20">(AA48-Y48)/Y48</f>
        <v>1.2048192771084338E-2</v>
      </c>
    </row>
    <row r="49" spans="1:28" ht="12" customHeight="1">
      <c r="A49" s="58" t="s">
        <v>45</v>
      </c>
      <c r="B49" s="1230">
        <v>49.7</v>
      </c>
      <c r="C49" s="1231"/>
      <c r="D49" s="1230">
        <v>68.400000000000006</v>
      </c>
      <c r="E49" s="59"/>
      <c r="F49" s="1232">
        <f t="shared" si="17"/>
        <v>118.10000000000001</v>
      </c>
      <c r="G49" s="730"/>
      <c r="H49" s="1230">
        <v>1</v>
      </c>
      <c r="I49" s="1413"/>
      <c r="J49" s="1412"/>
      <c r="K49" s="1231">
        <v>2.5</v>
      </c>
      <c r="L49" s="1230">
        <v>1</v>
      </c>
      <c r="M49" s="1231">
        <v>1</v>
      </c>
      <c r="N49" s="1230">
        <v>2.5</v>
      </c>
      <c r="O49" s="1413"/>
      <c r="P49" s="1232">
        <f t="shared" si="19"/>
        <v>8</v>
      </c>
      <c r="Q49" s="801">
        <f t="shared" si="18"/>
        <v>126.10000000000001</v>
      </c>
      <c r="R49" s="1230">
        <v>1761</v>
      </c>
      <c r="X49" s="59" t="s">
        <v>503</v>
      </c>
      <c r="Y49" s="1149">
        <v>1470</v>
      </c>
      <c r="Z49" s="140">
        <v>1982</v>
      </c>
      <c r="AA49" s="1149">
        <v>1196</v>
      </c>
      <c r="AB49" s="1153">
        <f t="shared" si="20"/>
        <v>-0.18639455782312925</v>
      </c>
    </row>
    <row r="50" spans="1:28" ht="12" customHeight="1">
      <c r="A50" s="59" t="s">
        <v>44</v>
      </c>
      <c r="B50" s="1230"/>
      <c r="C50" s="1231"/>
      <c r="D50" s="1230">
        <v>3.5</v>
      </c>
      <c r="E50" s="59"/>
      <c r="F50" s="1232">
        <f t="shared" si="17"/>
        <v>3.5</v>
      </c>
      <c r="G50" s="730"/>
      <c r="H50" s="1230"/>
      <c r="I50" s="1413"/>
      <c r="J50" s="1412"/>
      <c r="K50" s="1231"/>
      <c r="L50" s="1230"/>
      <c r="M50" s="1231"/>
      <c r="N50" s="1230">
        <v>1</v>
      </c>
      <c r="O50" s="1413"/>
      <c r="P50" s="1232">
        <f t="shared" si="19"/>
        <v>1</v>
      </c>
      <c r="Q50" s="801">
        <f t="shared" si="18"/>
        <v>4.5</v>
      </c>
      <c r="R50" s="1230"/>
      <c r="X50" s="59" t="s">
        <v>1006</v>
      </c>
      <c r="Y50" s="1149"/>
      <c r="Z50" s="140"/>
      <c r="AA50" s="1149">
        <v>252</v>
      </c>
      <c r="AB50" s="1153"/>
    </row>
    <row r="51" spans="1:28" ht="12" customHeight="1">
      <c r="A51" s="59" t="s">
        <v>42</v>
      </c>
      <c r="B51" s="1230">
        <v>31.8</v>
      </c>
      <c r="C51" s="1231"/>
      <c r="D51" s="1230">
        <v>5</v>
      </c>
      <c r="E51" s="59"/>
      <c r="F51" s="1232">
        <f t="shared" si="17"/>
        <v>36.799999999999997</v>
      </c>
      <c r="G51" s="730"/>
      <c r="H51" s="1230">
        <v>2</v>
      </c>
      <c r="I51" s="1413"/>
      <c r="J51" s="1412"/>
      <c r="K51" s="1231">
        <v>0.5</v>
      </c>
      <c r="L51" s="1230"/>
      <c r="M51" s="1231"/>
      <c r="N51" s="1230">
        <v>5.5</v>
      </c>
      <c r="O51" s="1413"/>
      <c r="P51" s="1232">
        <f t="shared" si="19"/>
        <v>8</v>
      </c>
      <c r="Q51" s="801">
        <f t="shared" si="18"/>
        <v>44.8</v>
      </c>
      <c r="R51" s="1230">
        <v>726</v>
      </c>
      <c r="V51" s="57">
        <f>R60-R40</f>
        <v>-654</v>
      </c>
      <c r="X51" s="59" t="s">
        <v>46</v>
      </c>
      <c r="Y51" s="1149">
        <v>899</v>
      </c>
      <c r="Z51" s="140">
        <v>814</v>
      </c>
      <c r="AA51" s="1149">
        <v>1540</v>
      </c>
      <c r="AB51" s="1153">
        <f t="shared" si="20"/>
        <v>0.7130144605116796</v>
      </c>
    </row>
    <row r="52" spans="1:28" ht="12" customHeight="1">
      <c r="A52" s="59" t="s">
        <v>41</v>
      </c>
      <c r="B52" s="1230">
        <v>69</v>
      </c>
      <c r="C52" s="1231"/>
      <c r="D52" s="1230">
        <v>12</v>
      </c>
      <c r="E52" s="59"/>
      <c r="F52" s="1232">
        <f t="shared" si="17"/>
        <v>81</v>
      </c>
      <c r="G52" s="730"/>
      <c r="H52" s="1230">
        <v>4</v>
      </c>
      <c r="I52" s="1413"/>
      <c r="J52" s="1412"/>
      <c r="K52" s="1231"/>
      <c r="L52" s="1230">
        <v>6</v>
      </c>
      <c r="M52" s="1231"/>
      <c r="N52" s="1230">
        <v>1</v>
      </c>
      <c r="O52" s="1413"/>
      <c r="P52" s="1232">
        <f t="shared" si="19"/>
        <v>11</v>
      </c>
      <c r="Q52" s="801">
        <f t="shared" si="18"/>
        <v>92</v>
      </c>
      <c r="R52" s="1230">
        <v>2023</v>
      </c>
      <c r="U52" s="1034">
        <f>((R60+766+351+1675)-(R40+990+1785+341))/(R40+990+1785+341)</f>
        <v>-4.6953766383407751E-2</v>
      </c>
      <c r="X52" s="59" t="s">
        <v>45</v>
      </c>
      <c r="Y52" s="1149">
        <v>2231</v>
      </c>
      <c r="Z52" s="140">
        <v>1982</v>
      </c>
      <c r="AA52" s="1149">
        <v>1761</v>
      </c>
      <c r="AB52" s="1153">
        <f t="shared" si="20"/>
        <v>-0.210667861945316</v>
      </c>
    </row>
    <row r="53" spans="1:28" ht="12" customHeight="1">
      <c r="A53" s="59" t="s">
        <v>40</v>
      </c>
      <c r="B53" s="1230">
        <v>30.5</v>
      </c>
      <c r="C53" s="1231"/>
      <c r="D53" s="1230">
        <v>2</v>
      </c>
      <c r="E53" s="59"/>
      <c r="F53" s="1232">
        <f t="shared" si="17"/>
        <v>32.5</v>
      </c>
      <c r="G53" s="730"/>
      <c r="H53" s="1230">
        <v>4</v>
      </c>
      <c r="I53" s="1413"/>
      <c r="J53" s="1412"/>
      <c r="K53" s="1231">
        <v>0.5</v>
      </c>
      <c r="L53" s="1230">
        <v>1</v>
      </c>
      <c r="M53" s="1231">
        <v>1</v>
      </c>
      <c r="N53" s="1230">
        <v>1</v>
      </c>
      <c r="O53" s="1413"/>
      <c r="P53" s="1232">
        <f t="shared" si="19"/>
        <v>7.5</v>
      </c>
      <c r="Q53" s="801">
        <f t="shared" si="18"/>
        <v>40</v>
      </c>
      <c r="R53" s="1230">
        <v>1940</v>
      </c>
      <c r="X53" s="59" t="s">
        <v>42</v>
      </c>
      <c r="Y53" s="1149">
        <v>575</v>
      </c>
      <c r="Z53" s="140">
        <v>586</v>
      </c>
      <c r="AA53" s="1149">
        <v>726</v>
      </c>
      <c r="AB53" s="1153">
        <f t="shared" si="20"/>
        <v>0.26260869565217393</v>
      </c>
    </row>
    <row r="54" spans="1:28" ht="12" customHeight="1">
      <c r="A54" s="59" t="s">
        <v>216</v>
      </c>
      <c r="B54" s="1230">
        <v>4</v>
      </c>
      <c r="C54" s="1231">
        <v>90</v>
      </c>
      <c r="D54" s="1230">
        <v>1</v>
      </c>
      <c r="E54" s="59"/>
      <c r="F54" s="1232">
        <f t="shared" si="17"/>
        <v>95</v>
      </c>
      <c r="G54" s="730"/>
      <c r="H54" s="1230"/>
      <c r="I54" s="1231">
        <v>51</v>
      </c>
      <c r="J54" s="1230">
        <v>2</v>
      </c>
      <c r="K54" s="1231">
        <v>0.5</v>
      </c>
      <c r="L54" s="1230"/>
      <c r="M54" s="1231">
        <v>1</v>
      </c>
      <c r="N54" s="1230">
        <v>0.5</v>
      </c>
      <c r="O54" s="1413"/>
      <c r="P54" s="1232">
        <f t="shared" si="19"/>
        <v>55</v>
      </c>
      <c r="Q54" s="801">
        <f t="shared" si="18"/>
        <v>150</v>
      </c>
      <c r="R54" s="1230">
        <v>2936</v>
      </c>
      <c r="X54" s="59" t="s">
        <v>41</v>
      </c>
      <c r="Y54" s="1149">
        <v>2281</v>
      </c>
      <c r="Z54" s="140">
        <v>2165</v>
      </c>
      <c r="AA54" s="1149">
        <v>2023</v>
      </c>
      <c r="AB54" s="1153">
        <f t="shared" si="20"/>
        <v>-0.11310828583954406</v>
      </c>
    </row>
    <row r="55" spans="1:28" ht="12" customHeight="1">
      <c r="A55" s="58" t="s">
        <v>302</v>
      </c>
      <c r="B55" s="1230">
        <v>100.3</v>
      </c>
      <c r="C55" s="1231"/>
      <c r="D55" s="1230">
        <v>16.8</v>
      </c>
      <c r="E55" s="59"/>
      <c r="F55" s="1232">
        <f t="shared" si="17"/>
        <v>117.1</v>
      </c>
      <c r="G55" s="730"/>
      <c r="H55" s="1230">
        <v>5</v>
      </c>
      <c r="I55" s="1413"/>
      <c r="J55" s="1412"/>
      <c r="K55" s="1231">
        <v>0.5</v>
      </c>
      <c r="L55" s="1230">
        <v>1</v>
      </c>
      <c r="M55" s="1231">
        <v>1</v>
      </c>
      <c r="N55" s="1230">
        <v>4.2</v>
      </c>
      <c r="O55" s="1413"/>
      <c r="P55" s="1232">
        <f t="shared" si="19"/>
        <v>11.7</v>
      </c>
      <c r="Q55" s="801">
        <f t="shared" si="18"/>
        <v>128.79999999999998</v>
      </c>
      <c r="R55" s="1230">
        <v>2833</v>
      </c>
      <c r="X55" s="59" t="s">
        <v>40</v>
      </c>
      <c r="Y55" s="1149">
        <v>1704</v>
      </c>
      <c r="Z55" s="140">
        <v>2009</v>
      </c>
      <c r="AA55" s="1149">
        <v>1940</v>
      </c>
      <c r="AB55" s="1153">
        <f t="shared" si="20"/>
        <v>0.13849765258215962</v>
      </c>
    </row>
    <row r="56" spans="1:28" ht="12" customHeight="1">
      <c r="A56" s="59" t="s">
        <v>39</v>
      </c>
      <c r="B56" s="1230">
        <v>31.1</v>
      </c>
      <c r="C56" s="1231"/>
      <c r="D56" s="1230">
        <v>4</v>
      </c>
      <c r="E56" s="59"/>
      <c r="F56" s="1232">
        <f t="shared" si="17"/>
        <v>35.1</v>
      </c>
      <c r="G56" s="730"/>
      <c r="H56" s="1230">
        <v>3</v>
      </c>
      <c r="I56" s="1413"/>
      <c r="J56" s="1412"/>
      <c r="K56" s="1231">
        <v>0.5</v>
      </c>
      <c r="L56" s="1230"/>
      <c r="M56" s="1231"/>
      <c r="N56" s="1230">
        <v>2</v>
      </c>
      <c r="O56" s="1413"/>
      <c r="P56" s="1232">
        <f t="shared" si="19"/>
        <v>5.5</v>
      </c>
      <c r="Q56" s="801">
        <f t="shared" si="18"/>
        <v>40.6</v>
      </c>
      <c r="R56" s="1230">
        <v>1768</v>
      </c>
      <c r="X56" s="59" t="s">
        <v>216</v>
      </c>
      <c r="Y56" s="1149">
        <v>3129</v>
      </c>
      <c r="Z56" s="140">
        <v>2925</v>
      </c>
      <c r="AA56" s="1149">
        <v>2936</v>
      </c>
      <c r="AB56" s="1153">
        <f t="shared" si="20"/>
        <v>-6.1681048258229468E-2</v>
      </c>
    </row>
    <row r="57" spans="1:28" ht="12" customHeight="1">
      <c r="A57" s="58" t="s">
        <v>43</v>
      </c>
      <c r="B57" s="1230"/>
      <c r="C57" s="1231"/>
      <c r="D57" s="1230">
        <v>8</v>
      </c>
      <c r="E57" s="59"/>
      <c r="F57" s="1232">
        <f t="shared" si="17"/>
        <v>8</v>
      </c>
      <c r="G57" s="730"/>
      <c r="H57" s="1230"/>
      <c r="I57" s="1413"/>
      <c r="J57" s="1412"/>
      <c r="K57" s="1231"/>
      <c r="L57" s="1230"/>
      <c r="M57" s="1231"/>
      <c r="N57" s="1230"/>
      <c r="O57" s="1413"/>
      <c r="P57" s="1232"/>
      <c r="Q57" s="801">
        <f t="shared" si="18"/>
        <v>8</v>
      </c>
      <c r="R57" s="1157"/>
      <c r="X57" s="59" t="s">
        <v>302</v>
      </c>
      <c r="Y57" s="1149">
        <v>2865</v>
      </c>
      <c r="Z57" s="140">
        <v>3396</v>
      </c>
      <c r="AA57" s="1149">
        <v>2833</v>
      </c>
      <c r="AB57" s="1153">
        <f t="shared" si="20"/>
        <v>-1.1169284467713788E-2</v>
      </c>
    </row>
    <row r="58" spans="1:28" ht="12" customHeight="1">
      <c r="A58" s="58" t="s">
        <v>742</v>
      </c>
      <c r="B58" s="1230"/>
      <c r="C58" s="1231"/>
      <c r="D58" s="1230">
        <v>1</v>
      </c>
      <c r="E58" s="59"/>
      <c r="F58" s="1232">
        <f t="shared" si="17"/>
        <v>1</v>
      </c>
      <c r="G58" s="730"/>
      <c r="H58" s="1230"/>
      <c r="I58" s="1413"/>
      <c r="J58" s="1412"/>
      <c r="K58" s="1231"/>
      <c r="L58" s="1230"/>
      <c r="M58" s="1231"/>
      <c r="N58" s="1230"/>
      <c r="O58" s="1413"/>
      <c r="P58" s="1232"/>
      <c r="Q58" s="801">
        <f t="shared" si="18"/>
        <v>1</v>
      </c>
      <c r="R58" s="1157"/>
      <c r="X58" s="59" t="s">
        <v>39</v>
      </c>
      <c r="Y58" s="1149">
        <v>1783</v>
      </c>
      <c r="Z58" s="140">
        <v>1779</v>
      </c>
      <c r="AA58" s="1149">
        <v>1768</v>
      </c>
      <c r="AB58" s="1153">
        <f t="shared" si="20"/>
        <v>-8.4127874369040942E-3</v>
      </c>
    </row>
    <row r="59" spans="1:28" ht="12" customHeight="1">
      <c r="A59" s="58" t="s">
        <v>522</v>
      </c>
      <c r="B59" s="1230"/>
      <c r="C59" s="1231"/>
      <c r="D59" s="63"/>
      <c r="E59" s="59"/>
      <c r="F59" s="1232"/>
      <c r="G59" s="730"/>
      <c r="H59" s="1230"/>
      <c r="I59" s="1413"/>
      <c r="J59" s="1412"/>
      <c r="K59" s="1231"/>
      <c r="L59" s="1230"/>
      <c r="M59" s="1231"/>
      <c r="N59" s="1230"/>
      <c r="O59" s="1231">
        <v>64.400000000000006</v>
      </c>
      <c r="P59" s="1232">
        <f t="shared" si="19"/>
        <v>64.400000000000006</v>
      </c>
      <c r="Q59" s="801">
        <f t="shared" si="18"/>
        <v>64.400000000000006</v>
      </c>
      <c r="R59" s="1157"/>
      <c r="X59" s="44" t="s">
        <v>450</v>
      </c>
      <c r="Y59" s="1150">
        <f>SUM(Y48:Y58)</f>
        <v>17020</v>
      </c>
      <c r="Z59" s="1150">
        <f>SUM(Z48:Z58)</f>
        <v>17713</v>
      </c>
      <c r="AA59" s="1150">
        <f>SUM(AA48:AA58)</f>
        <v>17059</v>
      </c>
      <c r="AB59" s="1249">
        <v>-8.4127874369040942E-3</v>
      </c>
    </row>
    <row r="60" spans="1:28" ht="12" customHeight="1">
      <c r="A60" s="61" t="s">
        <v>47</v>
      </c>
      <c r="B60" s="44">
        <f>SUM(B45:B59)</f>
        <v>388.70000000000005</v>
      </c>
      <c r="C60" s="44">
        <f>SUM(C45:C59)</f>
        <v>90</v>
      </c>
      <c r="D60" s="44">
        <f>SUM(D45:D59)</f>
        <v>162.5</v>
      </c>
      <c r="E60" s="44">
        <f>SUM(E45:E59)</f>
        <v>0</v>
      </c>
      <c r="F60" s="44">
        <f>SUM(F45:F59)</f>
        <v>641.20000000000005</v>
      </c>
      <c r="G60" s="731"/>
      <c r="H60" s="44">
        <f t="shared" ref="H60:R60" si="21">SUM(H45:H59)</f>
        <v>27</v>
      </c>
      <c r="I60" s="44">
        <f t="shared" si="21"/>
        <v>51</v>
      </c>
      <c r="J60" s="44">
        <f t="shared" si="21"/>
        <v>2</v>
      </c>
      <c r="K60" s="44">
        <f t="shared" si="21"/>
        <v>7</v>
      </c>
      <c r="L60" s="44">
        <f t="shared" si="21"/>
        <v>9</v>
      </c>
      <c r="M60" s="44">
        <f t="shared" si="21"/>
        <v>7</v>
      </c>
      <c r="N60" s="44">
        <f t="shared" si="21"/>
        <v>30.7</v>
      </c>
      <c r="O60" s="44">
        <f t="shared" si="21"/>
        <v>64.400000000000006</v>
      </c>
      <c r="P60" s="44">
        <f>SUM(P45:P59)</f>
        <v>198.1</v>
      </c>
      <c r="Q60" s="802">
        <f t="shared" si="21"/>
        <v>839.3</v>
      </c>
      <c r="R60" s="53">
        <f t="shared" si="21"/>
        <v>17059</v>
      </c>
    </row>
    <row r="61" spans="1:28" ht="6.6" customHeight="1"/>
    <row r="62" spans="1:28">
      <c r="A62" s="246" t="s">
        <v>1098</v>
      </c>
      <c r="R62" s="732"/>
    </row>
  </sheetData>
  <mergeCells count="6">
    <mergeCell ref="B23:F23"/>
    <mergeCell ref="B42:F42"/>
    <mergeCell ref="H42:R42"/>
    <mergeCell ref="H23:R23"/>
    <mergeCell ref="B4:F4"/>
    <mergeCell ref="H4:R4"/>
  </mergeCells>
  <conditionalFormatting sqref="AB48:AB58">
    <cfRule type="cellIs" dxfId="1" priority="3" operator="lessThan">
      <formula>0</formula>
    </cfRule>
    <cfRule type="cellIs" dxfId="0" priority="4" operator="greaterThan">
      <formula>0</formula>
    </cfRule>
  </conditionalFormatting>
  <pageMargins left="0.11811023622047245" right="0.11811023622047245" top="0.35433070866141736" bottom="0.35433070866141736" header="0.31496062992125984" footer="0.31496062992125984"/>
  <pageSetup paperSize="9" scale="69" orientation="landscape" r:id="rId1"/>
  <rowBreaks count="1" manualBreakCount="1">
    <brk id="6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B41"/>
  <sheetViews>
    <sheetView showGridLines="0" zoomScaleNormal="110" zoomScaleSheetLayoutView="110" zoomScalePageLayoutView="110" workbookViewId="0">
      <selection activeCell="AI17" sqref="AI17"/>
    </sheetView>
  </sheetViews>
  <sheetFormatPr baseColWidth="10" defaultColWidth="12" defaultRowHeight="12.75"/>
  <cols>
    <col min="1" max="1" width="40.1640625" style="70" customWidth="1"/>
    <col min="2" max="2" width="1" style="70" customWidth="1"/>
    <col min="3" max="5" width="6.6640625" style="70" customWidth="1"/>
    <col min="6" max="6" width="1.1640625" style="70" customWidth="1"/>
    <col min="7" max="9" width="6.6640625" style="70" customWidth="1"/>
    <col min="10" max="10" width="1" style="70" customWidth="1"/>
    <col min="11" max="13" width="6.6640625" style="70" customWidth="1"/>
    <col min="14" max="14" width="1" style="70" customWidth="1"/>
    <col min="15" max="17" width="6.6640625" style="70" customWidth="1"/>
    <col min="18" max="18" width="1" style="70" customWidth="1"/>
    <col min="19" max="20" width="6.6640625" style="70" customWidth="1"/>
    <col min="21" max="21" width="1.1640625" style="70" customWidth="1"/>
    <col min="22" max="24" width="6.6640625" style="70" customWidth="1"/>
    <col min="25" max="25" width="5.6640625" style="70" customWidth="1"/>
    <col min="26" max="16384" width="12" style="70"/>
  </cols>
  <sheetData>
    <row r="1" spans="1:25" ht="18.75">
      <c r="A1" s="228" t="s">
        <v>452</v>
      </c>
    </row>
    <row r="3" spans="1:25" ht="17.25" customHeight="1">
      <c r="A3" s="191" t="s">
        <v>651</v>
      </c>
      <c r="B3" s="132"/>
      <c r="C3" s="132"/>
      <c r="D3" s="132"/>
      <c r="E3" s="132"/>
      <c r="F3" s="132"/>
      <c r="G3" s="132"/>
      <c r="H3" s="132"/>
      <c r="I3" s="132"/>
      <c r="J3" s="132"/>
      <c r="K3" s="132"/>
      <c r="L3" s="132"/>
      <c r="M3" s="132"/>
      <c r="N3" s="80"/>
      <c r="O3" s="80"/>
      <c r="P3" s="80"/>
      <c r="Q3" s="80"/>
      <c r="R3" s="80"/>
      <c r="S3" s="80"/>
      <c r="T3" s="80"/>
      <c r="U3" s="80"/>
      <c r="V3" s="80"/>
      <c r="W3" s="80"/>
      <c r="X3" s="80"/>
      <c r="Y3" s="80"/>
    </row>
    <row r="4" spans="1:25" ht="12" customHeight="1">
      <c r="B4" s="71"/>
      <c r="C4" s="71"/>
      <c r="D4" s="71"/>
      <c r="E4" s="71"/>
      <c r="F4" s="71"/>
      <c r="G4" s="71"/>
    </row>
    <row r="5" spans="1:25" ht="12" customHeight="1">
      <c r="A5" s="874" t="s">
        <v>1116</v>
      </c>
      <c r="B5" s="72"/>
      <c r="C5" s="71"/>
      <c r="D5" s="71"/>
      <c r="E5" s="71"/>
      <c r="F5" s="71"/>
      <c r="G5" s="71"/>
    </row>
    <row r="6" spans="1:25" ht="6.75" customHeight="1">
      <c r="A6" s="72"/>
      <c r="B6" s="72"/>
      <c r="C6" s="71"/>
      <c r="D6" s="71"/>
      <c r="E6" s="71"/>
      <c r="F6" s="71"/>
      <c r="G6" s="71"/>
    </row>
    <row r="7" spans="1:25">
      <c r="A7" s="85" t="s">
        <v>99</v>
      </c>
      <c r="C7" s="87"/>
      <c r="D7" s="86">
        <v>2019</v>
      </c>
      <c r="E7" s="87"/>
      <c r="F7" s="87"/>
      <c r="G7" s="87"/>
      <c r="H7" s="86">
        <v>2020</v>
      </c>
      <c r="I7" s="87"/>
      <c r="K7" s="87"/>
      <c r="L7" s="86">
        <v>2021</v>
      </c>
      <c r="M7" s="87"/>
      <c r="N7" s="87"/>
      <c r="O7" s="803"/>
      <c r="P7" s="86">
        <v>2022</v>
      </c>
      <c r="Q7" s="804"/>
      <c r="R7" s="87"/>
      <c r="S7" s="584"/>
    </row>
    <row r="8" spans="1:25" ht="6" customHeight="1" thickBot="1">
      <c r="A8" s="248"/>
      <c r="O8" s="803"/>
      <c r="P8" s="803"/>
      <c r="Q8" s="803"/>
    </row>
    <row r="9" spans="1:25">
      <c r="B9" s="74"/>
      <c r="C9" s="1568" t="s">
        <v>58</v>
      </c>
      <c r="D9" s="1570" t="s">
        <v>59</v>
      </c>
      <c r="E9" s="1555" t="s">
        <v>74</v>
      </c>
      <c r="G9" s="1556" t="s">
        <v>58</v>
      </c>
      <c r="H9" s="1569" t="s">
        <v>59</v>
      </c>
      <c r="I9" s="1553" t="s">
        <v>74</v>
      </c>
      <c r="K9" s="1556" t="s">
        <v>58</v>
      </c>
      <c r="L9" s="1569" t="s">
        <v>59</v>
      </c>
      <c r="M9" s="1553" t="s">
        <v>74</v>
      </c>
      <c r="O9" s="1556" t="s">
        <v>58</v>
      </c>
      <c r="P9" s="1569" t="s">
        <v>59</v>
      </c>
      <c r="Q9" s="1553" t="s">
        <v>74</v>
      </c>
      <c r="R9" s="76"/>
      <c r="S9" s="76" t="s">
        <v>59</v>
      </c>
      <c r="T9" s="76" t="s">
        <v>74</v>
      </c>
      <c r="U9" s="73"/>
      <c r="V9" s="600"/>
      <c r="W9" s="856" t="s">
        <v>58</v>
      </c>
      <c r="X9" s="857" t="s">
        <v>59</v>
      </c>
    </row>
    <row r="10" spans="1:25">
      <c r="B10" s="74"/>
      <c r="C10" s="1557"/>
      <c r="D10" s="1545"/>
      <c r="E10" s="1554"/>
      <c r="G10" s="1557"/>
      <c r="H10" s="1545"/>
      <c r="I10" s="1554"/>
      <c r="K10" s="1557"/>
      <c r="L10" s="1545"/>
      <c r="M10" s="1554"/>
      <c r="O10" s="1557"/>
      <c r="P10" s="1545"/>
      <c r="Q10" s="1554"/>
      <c r="R10" s="76"/>
      <c r="S10" s="76"/>
      <c r="T10" s="76"/>
      <c r="U10" s="73"/>
      <c r="V10" s="601" t="s">
        <v>87</v>
      </c>
      <c r="W10" s="602">
        <v>1</v>
      </c>
      <c r="X10" s="605">
        <v>3</v>
      </c>
      <c r="Y10" s="608">
        <f>SUM(W10:X10)</f>
        <v>4</v>
      </c>
    </row>
    <row r="11" spans="1:25">
      <c r="A11" s="69" t="s">
        <v>75</v>
      </c>
      <c r="B11" s="89"/>
      <c r="C11" s="114">
        <v>9</v>
      </c>
      <c r="D11" s="90">
        <v>10</v>
      </c>
      <c r="E11" s="115">
        <v>19</v>
      </c>
      <c r="F11" s="91"/>
      <c r="G11" s="114">
        <v>6</v>
      </c>
      <c r="H11" s="90">
        <v>15</v>
      </c>
      <c r="I11" s="115">
        <v>21</v>
      </c>
      <c r="K11" s="114">
        <v>3</v>
      </c>
      <c r="L11" s="90">
        <v>8</v>
      </c>
      <c r="M11" s="115">
        <v>11</v>
      </c>
      <c r="N11" s="91"/>
      <c r="O11" s="1280">
        <v>7</v>
      </c>
      <c r="P11" s="1281">
        <v>11</v>
      </c>
      <c r="Q11" s="1282">
        <f>SUM(O11:P11)</f>
        <v>18</v>
      </c>
      <c r="R11" s="76"/>
      <c r="S11" s="395"/>
      <c r="T11" s="395"/>
      <c r="U11" s="73"/>
      <c r="V11" s="601" t="s">
        <v>130</v>
      </c>
      <c r="W11" s="602">
        <f>O15</f>
        <v>7</v>
      </c>
      <c r="X11" s="605">
        <f>P15</f>
        <v>10</v>
      </c>
      <c r="Y11" s="608">
        <f>SUM(W11:X11)</f>
        <v>17</v>
      </c>
    </row>
    <row r="12" spans="1:25">
      <c r="A12" s="92" t="s">
        <v>76</v>
      </c>
      <c r="B12" s="92"/>
      <c r="C12" s="116">
        <v>71</v>
      </c>
      <c r="D12" s="93">
        <v>728</v>
      </c>
      <c r="E12" s="117">
        <v>799</v>
      </c>
      <c r="F12" s="94"/>
      <c r="G12" s="116">
        <v>46</v>
      </c>
      <c r="H12" s="93">
        <v>654</v>
      </c>
      <c r="I12" s="117">
        <v>700</v>
      </c>
      <c r="K12" s="116">
        <v>29</v>
      </c>
      <c r="L12" s="93">
        <v>214</v>
      </c>
      <c r="M12" s="117">
        <v>243</v>
      </c>
      <c r="N12" s="94"/>
      <c r="O12" s="1283">
        <v>78</v>
      </c>
      <c r="P12" s="1284">
        <v>398</v>
      </c>
      <c r="Q12" s="1238">
        <f t="shared" ref="Q12:Q16" si="0">SUM(O12:P12)</f>
        <v>476</v>
      </c>
      <c r="R12" s="76"/>
      <c r="S12" s="73"/>
      <c r="T12" s="73"/>
      <c r="U12" s="73"/>
      <c r="V12" s="603"/>
      <c r="W12" s="606">
        <f>SUM(W10:W11)</f>
        <v>8</v>
      </c>
      <c r="X12" s="604">
        <f>SUM(X10:X11)</f>
        <v>13</v>
      </c>
      <c r="Y12" s="608">
        <f>SUM(W12:X12)</f>
        <v>21</v>
      </c>
    </row>
    <row r="13" spans="1:25">
      <c r="A13" s="89" t="s">
        <v>77</v>
      </c>
      <c r="B13" s="89"/>
      <c r="C13" s="365">
        <v>8</v>
      </c>
      <c r="D13" s="366">
        <v>73</v>
      </c>
      <c r="E13" s="367">
        <v>81</v>
      </c>
      <c r="F13" s="91"/>
      <c r="G13" s="365">
        <v>8</v>
      </c>
      <c r="H13" s="366">
        <v>44</v>
      </c>
      <c r="I13" s="367">
        <v>52</v>
      </c>
      <c r="K13" s="365">
        <v>10</v>
      </c>
      <c r="L13" s="366">
        <v>26</v>
      </c>
      <c r="M13" s="367">
        <v>36</v>
      </c>
      <c r="N13" s="91"/>
      <c r="O13" s="1285">
        <v>11</v>
      </c>
      <c r="P13" s="1286">
        <v>36</v>
      </c>
      <c r="Q13" s="1287">
        <f t="shared" si="0"/>
        <v>47</v>
      </c>
      <c r="R13" s="76"/>
      <c r="S13" s="73"/>
      <c r="T13" s="73"/>
      <c r="U13" s="73"/>
      <c r="W13" s="609">
        <f>W10/W12</f>
        <v>0.125</v>
      </c>
      <c r="X13" s="610">
        <f>X10/X12</f>
        <v>0.23076923076923078</v>
      </c>
      <c r="Y13" s="610">
        <f>Y10/Y12</f>
        <v>0.19047619047619047</v>
      </c>
    </row>
    <row r="14" spans="1:25">
      <c r="A14" s="92" t="s">
        <v>78</v>
      </c>
      <c r="B14" s="92"/>
      <c r="C14" s="116">
        <v>5</v>
      </c>
      <c r="D14" s="93">
        <v>1</v>
      </c>
      <c r="E14" s="117">
        <v>6</v>
      </c>
      <c r="F14" s="94"/>
      <c r="G14" s="116">
        <v>9</v>
      </c>
      <c r="H14" s="93">
        <v>2</v>
      </c>
      <c r="I14" s="117">
        <v>11</v>
      </c>
      <c r="K14" s="116">
        <v>3</v>
      </c>
      <c r="L14" s="93">
        <v>3</v>
      </c>
      <c r="M14" s="117">
        <v>6</v>
      </c>
      <c r="N14" s="94"/>
      <c r="O14" s="1283">
        <v>7</v>
      </c>
      <c r="P14" s="1284">
        <v>13</v>
      </c>
      <c r="Q14" s="1238">
        <f t="shared" si="0"/>
        <v>20</v>
      </c>
      <c r="R14" s="76"/>
      <c r="T14" s="73"/>
      <c r="U14" s="73"/>
    </row>
    <row r="15" spans="1:25">
      <c r="A15" s="95" t="s">
        <v>79</v>
      </c>
      <c r="B15" s="95"/>
      <c r="C15" s="118">
        <v>9</v>
      </c>
      <c r="D15" s="96">
        <v>10</v>
      </c>
      <c r="E15" s="119">
        <v>19</v>
      </c>
      <c r="F15" s="97"/>
      <c r="G15" s="118">
        <v>6</v>
      </c>
      <c r="H15" s="96">
        <v>15</v>
      </c>
      <c r="I15" s="119">
        <v>21</v>
      </c>
      <c r="K15" s="118">
        <v>3</v>
      </c>
      <c r="L15" s="96">
        <v>7</v>
      </c>
      <c r="M15" s="119">
        <v>10</v>
      </c>
      <c r="N15" s="97"/>
      <c r="O15" s="1288">
        <v>7</v>
      </c>
      <c r="P15" s="1289">
        <v>10</v>
      </c>
      <c r="Q15" s="1234">
        <f t="shared" si="0"/>
        <v>17</v>
      </c>
      <c r="R15" s="76"/>
      <c r="S15" s="73"/>
      <c r="T15" s="73"/>
      <c r="U15" s="73"/>
      <c r="W15" s="609"/>
      <c r="X15" s="858"/>
      <c r="Y15" s="610"/>
    </row>
    <row r="16" spans="1:25" ht="13.5" thickBot="1">
      <c r="A16" s="92" t="s">
        <v>80</v>
      </c>
      <c r="B16" s="92"/>
      <c r="C16" s="468">
        <v>5</v>
      </c>
      <c r="D16" s="469">
        <v>1</v>
      </c>
      <c r="E16" s="470">
        <v>6</v>
      </c>
      <c r="F16" s="94"/>
      <c r="G16" s="468">
        <v>4</v>
      </c>
      <c r="H16" s="469">
        <v>0</v>
      </c>
      <c r="I16" s="470">
        <v>4</v>
      </c>
      <c r="K16" s="468">
        <v>1</v>
      </c>
      <c r="L16" s="469">
        <v>3</v>
      </c>
      <c r="M16" s="470">
        <v>4</v>
      </c>
      <c r="N16" s="94"/>
      <c r="O16" s="1290">
        <v>3</v>
      </c>
      <c r="P16" s="1291">
        <v>4</v>
      </c>
      <c r="Q16" s="1292">
        <f t="shared" si="0"/>
        <v>7</v>
      </c>
      <c r="R16" s="76"/>
      <c r="S16" s="73"/>
      <c r="T16" s="73"/>
      <c r="U16" s="73"/>
      <c r="W16" s="603"/>
      <c r="X16" s="603"/>
      <c r="Y16" s="610"/>
    </row>
    <row r="17" spans="1:28" ht="13.5" thickBot="1">
      <c r="A17" s="472" t="s">
        <v>482</v>
      </c>
      <c r="B17" s="472"/>
      <c r="C17" s="1561">
        <f>E16/E15</f>
        <v>0.31578947368421051</v>
      </c>
      <c r="D17" s="1562"/>
      <c r="E17" s="1563"/>
      <c r="F17" s="97"/>
      <c r="G17" s="1558">
        <f>I16/I15</f>
        <v>0.19047619047619047</v>
      </c>
      <c r="H17" s="1559"/>
      <c r="I17" s="1560"/>
      <c r="K17" s="1558">
        <f>M16/M15</f>
        <v>0.4</v>
      </c>
      <c r="L17" s="1559"/>
      <c r="M17" s="1560"/>
      <c r="N17" s="97"/>
      <c r="O17" s="1558">
        <f>Q16/Q15</f>
        <v>0.41176470588235292</v>
      </c>
      <c r="P17" s="1559"/>
      <c r="Q17" s="1560"/>
      <c r="R17" s="76"/>
      <c r="S17" s="73"/>
      <c r="T17" s="73"/>
      <c r="U17" s="73"/>
      <c r="V17" s="603"/>
      <c r="W17" s="603"/>
      <c r="X17" s="603"/>
      <c r="Y17" s="603"/>
    </row>
    <row r="18" spans="1:28" ht="9" customHeight="1">
      <c r="C18" s="79"/>
      <c r="K18" s="80"/>
      <c r="L18" s="80"/>
      <c r="M18" s="80"/>
      <c r="V18" s="603"/>
    </row>
    <row r="19" spans="1:28">
      <c r="A19" s="26"/>
      <c r="B19" s="26"/>
      <c r="C19" s="26"/>
      <c r="D19" s="26"/>
      <c r="E19" s="26"/>
      <c r="F19" s="26"/>
      <c r="G19" s="26"/>
      <c r="H19" s="26"/>
      <c r="I19" s="26"/>
      <c r="J19" s="26"/>
      <c r="K19" s="26"/>
      <c r="L19" s="26"/>
      <c r="M19" s="26"/>
      <c r="V19" s="1344" t="s">
        <v>58</v>
      </c>
      <c r="W19" s="603">
        <f>32+4</f>
        <v>36</v>
      </c>
      <c r="X19" s="603">
        <f>93+16</f>
        <v>109</v>
      </c>
      <c r="Y19" s="1062">
        <f>W19/X19</f>
        <v>0.33027522935779818</v>
      </c>
    </row>
    <row r="20" spans="1:28" ht="9" customHeight="1">
      <c r="A20" s="26"/>
      <c r="C20" s="79"/>
      <c r="K20" s="80"/>
      <c r="L20" s="80"/>
      <c r="M20" s="80"/>
      <c r="V20" s="1344" t="s">
        <v>59</v>
      </c>
      <c r="W20" s="603">
        <f>62+4</f>
        <v>66</v>
      </c>
      <c r="X20" s="603">
        <f>110+4</f>
        <v>114</v>
      </c>
      <c r="Y20" s="1062">
        <f>W20/X20</f>
        <v>0.57894736842105265</v>
      </c>
      <c r="AA20" s="869"/>
      <c r="AB20" s="869"/>
    </row>
    <row r="21" spans="1:28" ht="9" customHeight="1">
      <c r="C21" s="79"/>
      <c r="K21" s="80"/>
      <c r="L21" s="80"/>
      <c r="M21" s="80"/>
      <c r="AA21" s="869"/>
      <c r="AB21" s="869"/>
    </row>
    <row r="22" spans="1:28" ht="15" customHeight="1">
      <c r="C22" s="79"/>
      <c r="K22" s="80"/>
      <c r="L22" s="80"/>
      <c r="M22" s="80"/>
    </row>
    <row r="23" spans="1:28" ht="15" customHeight="1">
      <c r="K23" s="80"/>
      <c r="L23" s="80"/>
      <c r="M23" s="80"/>
    </row>
    <row r="24" spans="1:28">
      <c r="A24" s="85" t="s">
        <v>28</v>
      </c>
      <c r="B24" s="81"/>
      <c r="C24" s="88"/>
      <c r="D24" s="86">
        <v>2019</v>
      </c>
      <c r="E24" s="88"/>
      <c r="F24" s="88"/>
      <c r="G24" s="88"/>
      <c r="H24" s="86">
        <v>2020</v>
      </c>
      <c r="I24" s="88"/>
      <c r="J24" s="88"/>
      <c r="K24" s="87"/>
      <c r="L24" s="86">
        <v>2021</v>
      </c>
      <c r="N24" s="87"/>
      <c r="O24" s="81"/>
      <c r="P24" s="86">
        <v>2022</v>
      </c>
      <c r="Q24" s="88"/>
      <c r="S24" s="82"/>
    </row>
    <row r="25" spans="1:28" ht="5.25" customHeight="1" thickBot="1">
      <c r="C25" s="80"/>
      <c r="D25" s="80"/>
      <c r="E25" s="80"/>
      <c r="F25" s="80"/>
      <c r="G25" s="80"/>
      <c r="H25" s="80"/>
      <c r="I25" s="80"/>
      <c r="J25" s="80"/>
      <c r="L25" s="80"/>
      <c r="O25" s="80"/>
      <c r="P25" s="933"/>
      <c r="Q25" s="80"/>
    </row>
    <row r="26" spans="1:28">
      <c r="A26" s="92" t="s">
        <v>75</v>
      </c>
      <c r="B26" s="92"/>
      <c r="C26" s="120"/>
      <c r="D26" s="121">
        <v>9</v>
      </c>
      <c r="E26" s="122"/>
      <c r="F26" s="93"/>
      <c r="G26" s="120"/>
      <c r="H26" s="121">
        <v>10</v>
      </c>
      <c r="I26" s="122"/>
      <c r="J26" s="93"/>
      <c r="K26" s="120"/>
      <c r="L26" s="121">
        <v>5</v>
      </c>
      <c r="M26" s="122"/>
      <c r="N26" s="94"/>
      <c r="O26" s="120"/>
      <c r="P26" s="1345">
        <v>11</v>
      </c>
      <c r="Q26" s="122"/>
      <c r="R26" s="76"/>
      <c r="S26" s="77"/>
      <c r="T26" s="77"/>
      <c r="U26" s="73"/>
      <c r="V26" s="77"/>
      <c r="X26" s="77"/>
    </row>
    <row r="27" spans="1:28">
      <c r="A27" s="95" t="s">
        <v>76</v>
      </c>
      <c r="B27" s="95"/>
      <c r="C27" s="123"/>
      <c r="D27" s="96">
        <v>77</v>
      </c>
      <c r="E27" s="124"/>
      <c r="F27" s="99"/>
      <c r="G27" s="123"/>
      <c r="H27" s="96">
        <v>94</v>
      </c>
      <c r="I27" s="124"/>
      <c r="J27" s="99"/>
      <c r="K27" s="123"/>
      <c r="L27" s="96">
        <v>83</v>
      </c>
      <c r="M27" s="124"/>
      <c r="N27" s="91"/>
      <c r="O27" s="123"/>
      <c r="P27" s="1289">
        <v>150</v>
      </c>
      <c r="Q27" s="124"/>
      <c r="R27" s="76"/>
      <c r="S27" s="77"/>
      <c r="T27" s="83"/>
      <c r="U27" s="73"/>
      <c r="V27" s="104"/>
      <c r="X27" s="83"/>
    </row>
    <row r="28" spans="1:28">
      <c r="A28" s="92" t="s">
        <v>77</v>
      </c>
      <c r="B28" s="92"/>
      <c r="C28" s="116"/>
      <c r="D28" s="100">
        <v>8.5555555555555554</v>
      </c>
      <c r="E28" s="117"/>
      <c r="F28" s="93"/>
      <c r="G28" s="116"/>
      <c r="H28" s="100">
        <v>9</v>
      </c>
      <c r="I28" s="117"/>
      <c r="J28" s="93"/>
      <c r="K28" s="116"/>
      <c r="L28" s="100">
        <v>16</v>
      </c>
      <c r="M28" s="117"/>
      <c r="N28" s="94"/>
      <c r="O28" s="116"/>
      <c r="P28" s="1346">
        <v>13</v>
      </c>
      <c r="Q28" s="117"/>
      <c r="R28" s="76"/>
      <c r="S28" s="84"/>
      <c r="T28" s="77"/>
      <c r="U28" s="73"/>
      <c r="V28" s="603" t="s">
        <v>87</v>
      </c>
      <c r="W28" s="602">
        <v>7</v>
      </c>
      <c r="X28" s="77"/>
    </row>
    <row r="29" spans="1:28">
      <c r="A29" s="95" t="s">
        <v>81</v>
      </c>
      <c r="B29" s="95"/>
      <c r="C29" s="123"/>
      <c r="D29" s="96">
        <v>22</v>
      </c>
      <c r="E29" s="124"/>
      <c r="F29" s="99"/>
      <c r="G29" s="123"/>
      <c r="H29" s="96">
        <v>35</v>
      </c>
      <c r="I29" s="124"/>
      <c r="J29" s="99"/>
      <c r="K29" s="123"/>
      <c r="L29" s="96">
        <v>21</v>
      </c>
      <c r="M29" s="124"/>
      <c r="N29" s="91"/>
      <c r="O29" s="123"/>
      <c r="P29" s="1289">
        <v>35</v>
      </c>
      <c r="Q29" s="124"/>
      <c r="R29" s="76"/>
      <c r="S29" s="77"/>
      <c r="T29" s="83"/>
      <c r="U29" s="73"/>
      <c r="V29" s="603" t="s">
        <v>130</v>
      </c>
      <c r="W29" s="602">
        <v>4</v>
      </c>
      <c r="X29" s="83"/>
    </row>
    <row r="30" spans="1:28">
      <c r="A30" s="92" t="s">
        <v>79</v>
      </c>
      <c r="B30" s="92"/>
      <c r="C30" s="116"/>
      <c r="D30" s="93">
        <v>8</v>
      </c>
      <c r="E30" s="117"/>
      <c r="F30" s="93"/>
      <c r="G30" s="116"/>
      <c r="H30" s="93">
        <v>10</v>
      </c>
      <c r="I30" s="117"/>
      <c r="J30" s="93"/>
      <c r="K30" s="116"/>
      <c r="L30" s="93">
        <v>5</v>
      </c>
      <c r="M30" s="117"/>
      <c r="N30" s="94"/>
      <c r="O30" s="116"/>
      <c r="P30" s="1284">
        <v>11</v>
      </c>
      <c r="Q30" s="117"/>
      <c r="R30" s="76">
        <v>6</v>
      </c>
      <c r="S30" s="77"/>
      <c r="T30" s="77"/>
      <c r="U30" s="73"/>
      <c r="V30" s="77"/>
      <c r="W30" s="607">
        <f>SUM(W28:W29)</f>
        <v>11</v>
      </c>
      <c r="X30" s="77"/>
    </row>
    <row r="31" spans="1:28" ht="13.5" thickBot="1">
      <c r="A31" s="95" t="s">
        <v>82</v>
      </c>
      <c r="B31" s="95"/>
      <c r="C31" s="125"/>
      <c r="D31" s="126">
        <v>0.2857142857142857</v>
      </c>
      <c r="E31" s="127"/>
      <c r="F31" s="99"/>
      <c r="G31" s="125"/>
      <c r="H31" s="126">
        <v>0.37234042553191488</v>
      </c>
      <c r="I31" s="127"/>
      <c r="J31" s="99"/>
      <c r="K31" s="125"/>
      <c r="L31" s="126">
        <v>0.25301204819277107</v>
      </c>
      <c r="M31" s="127"/>
      <c r="N31" s="91"/>
      <c r="O31" s="125"/>
      <c r="P31" s="1347">
        <f>P29/P27</f>
        <v>0.23333333333333334</v>
      </c>
      <c r="Q31" s="127"/>
      <c r="R31" s="99"/>
      <c r="S31" s="78"/>
      <c r="T31" s="83"/>
      <c r="U31" s="73"/>
      <c r="V31" s="83"/>
      <c r="W31" s="613">
        <f>W28/W30</f>
        <v>0.63636363636363635</v>
      </c>
      <c r="X31" s="83"/>
    </row>
    <row r="32" spans="1:28">
      <c r="A32" s="95"/>
      <c r="B32" s="95"/>
      <c r="C32" s="99"/>
      <c r="D32" s="98"/>
      <c r="E32" s="99"/>
      <c r="F32" s="99"/>
      <c r="G32" s="99"/>
      <c r="H32" s="98"/>
      <c r="I32" s="99"/>
      <c r="J32" s="99"/>
      <c r="K32" s="99"/>
      <c r="L32" s="98"/>
      <c r="M32" s="99"/>
      <c r="N32" s="91"/>
      <c r="O32" s="99"/>
      <c r="P32" s="1015"/>
      <c r="Q32" s="99"/>
      <c r="R32" s="99"/>
      <c r="S32" s="78"/>
      <c r="T32" s="83"/>
      <c r="U32" s="73"/>
      <c r="V32" s="83"/>
      <c r="X32" s="83"/>
    </row>
    <row r="34" spans="1:18" ht="15.75">
      <c r="A34" s="191" t="s">
        <v>380</v>
      </c>
    </row>
    <row r="35" spans="1:18">
      <c r="K35" s="611"/>
      <c r="P35" s="612"/>
    </row>
    <row r="36" spans="1:18" ht="13.5" thickBot="1">
      <c r="A36"/>
      <c r="C36" s="1538">
        <v>2018</v>
      </c>
      <c r="D36" s="1538"/>
      <c r="E36" s="1545">
        <v>2019</v>
      </c>
      <c r="F36" s="1545"/>
      <c r="G36" s="1545"/>
      <c r="H36" s="1538">
        <v>2021</v>
      </c>
      <c r="I36" s="1538"/>
      <c r="J36" s="1545">
        <v>2022</v>
      </c>
      <c r="K36" s="1545"/>
      <c r="L36" s="1545"/>
      <c r="M36" s="796"/>
      <c r="R36" s="612"/>
    </row>
    <row r="37" spans="1:18" ht="13.5" thickBot="1">
      <c r="A37" s="285" t="s">
        <v>551</v>
      </c>
      <c r="C37" s="1539"/>
      <c r="D37" s="1540"/>
      <c r="E37" s="1529"/>
      <c r="F37" s="1530"/>
      <c r="G37" s="1546"/>
      <c r="H37" s="1539"/>
      <c r="I37" s="1540"/>
      <c r="J37" s="1529"/>
      <c r="K37" s="1530"/>
      <c r="L37" s="1531"/>
      <c r="M37" s="796"/>
      <c r="R37" s="599"/>
    </row>
    <row r="38" spans="1:18" ht="13.5" thickBot="1">
      <c r="A38" s="92" t="s">
        <v>381</v>
      </c>
      <c r="B38"/>
      <c r="C38" s="1564">
        <v>4</v>
      </c>
      <c r="D38" s="1565"/>
      <c r="E38" s="1547">
        <v>3</v>
      </c>
      <c r="F38" s="1548"/>
      <c r="G38" s="1549"/>
      <c r="H38" s="1541">
        <v>1</v>
      </c>
      <c r="I38" s="1542"/>
      <c r="J38" s="1532">
        <v>3</v>
      </c>
      <c r="K38" s="1533"/>
      <c r="L38" s="1534"/>
      <c r="R38" s="599"/>
    </row>
    <row r="39" spans="1:18" ht="13.5" thickBot="1">
      <c r="A39" s="285" t="s">
        <v>47</v>
      </c>
      <c r="B39"/>
      <c r="C39" s="1566">
        <v>1</v>
      </c>
      <c r="D39" s="1567"/>
      <c r="E39" s="1550">
        <f>SUM(E37:F38)</f>
        <v>3</v>
      </c>
      <c r="F39" s="1551"/>
      <c r="G39" s="1552"/>
      <c r="H39" s="1543">
        <f>SUM(H37:H38)</f>
        <v>1</v>
      </c>
      <c r="I39" s="1544"/>
      <c r="J39" s="1535">
        <f>SUM(J37:K38)</f>
        <v>3</v>
      </c>
      <c r="K39" s="1536"/>
      <c r="L39" s="1537"/>
    </row>
    <row r="40" spans="1:18">
      <c r="A40" s="285"/>
      <c r="C40"/>
      <c r="D40"/>
      <c r="E40"/>
    </row>
    <row r="41" spans="1:18">
      <c r="C41"/>
      <c r="D41"/>
      <c r="E41"/>
    </row>
  </sheetData>
  <mergeCells count="32">
    <mergeCell ref="C9:C10"/>
    <mergeCell ref="P9:P10"/>
    <mergeCell ref="D9:D10"/>
    <mergeCell ref="G9:G10"/>
    <mergeCell ref="H9:H10"/>
    <mergeCell ref="K9:K10"/>
    <mergeCell ref="L9:L10"/>
    <mergeCell ref="M9:M10"/>
    <mergeCell ref="I9:I10"/>
    <mergeCell ref="E36:G36"/>
    <mergeCell ref="E37:G37"/>
    <mergeCell ref="E38:G38"/>
    <mergeCell ref="E39:G39"/>
    <mergeCell ref="Q9:Q10"/>
    <mergeCell ref="E9:E10"/>
    <mergeCell ref="O9:O10"/>
    <mergeCell ref="O17:Q17"/>
    <mergeCell ref="C17:E17"/>
    <mergeCell ref="G17:I17"/>
    <mergeCell ref="K17:M17"/>
    <mergeCell ref="C36:D36"/>
    <mergeCell ref="C37:D37"/>
    <mergeCell ref="C38:D38"/>
    <mergeCell ref="C39:D39"/>
    <mergeCell ref="J36:L36"/>
    <mergeCell ref="J37:L37"/>
    <mergeCell ref="J38:L38"/>
    <mergeCell ref="J39:L39"/>
    <mergeCell ref="H36:I36"/>
    <mergeCell ref="H37:I37"/>
    <mergeCell ref="H38:I38"/>
    <mergeCell ref="H39:I39"/>
  </mergeCells>
  <pageMargins left="0.11811023622047245" right="0.11811023622047245" top="0.35433070866141736" bottom="0.35433070866141736" header="0.31496062992125984" footer="0.31496062992125984"/>
  <pageSetup paperSize="9" scale="97" fitToWidth="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31"/>
  <sheetViews>
    <sheetView showGridLines="0" zoomScaleNormal="110" zoomScaleSheetLayoutView="100" zoomScalePageLayoutView="110" workbookViewId="0">
      <selection activeCell="H37" sqref="H37"/>
    </sheetView>
  </sheetViews>
  <sheetFormatPr baseColWidth="10" defaultRowHeight="10.5"/>
  <cols>
    <col min="1" max="1" width="42.1640625" customWidth="1"/>
    <col min="2" max="8" width="13.6640625" customWidth="1"/>
    <col min="9" max="9" width="13.6640625" style="1161" customWidth="1"/>
  </cols>
  <sheetData>
    <row r="1" spans="1:12" ht="18.75">
      <c r="A1" s="1080" t="s">
        <v>1011</v>
      </c>
    </row>
    <row r="2" spans="1:12" ht="12" thickBot="1">
      <c r="A2" s="231" t="s">
        <v>1012</v>
      </c>
    </row>
    <row r="3" spans="1:12" ht="15" customHeight="1">
      <c r="A3" s="26"/>
      <c r="B3" s="994" t="s">
        <v>377</v>
      </c>
      <c r="C3" s="994"/>
      <c r="D3" s="994" t="s">
        <v>378</v>
      </c>
      <c r="E3" s="994"/>
      <c r="F3" s="994"/>
      <c r="G3" s="994" t="s">
        <v>376</v>
      </c>
      <c r="H3" s="994"/>
      <c r="I3" s="994"/>
      <c r="J3" s="389" t="s">
        <v>47</v>
      </c>
      <c r="L3" s="614"/>
    </row>
    <row r="4" spans="1:12" ht="15" customHeight="1">
      <c r="A4" s="26"/>
      <c r="B4" s="997" t="s">
        <v>776</v>
      </c>
      <c r="C4" s="992" t="s">
        <v>59</v>
      </c>
      <c r="D4" s="997" t="s">
        <v>37</v>
      </c>
      <c r="E4" s="998" t="s">
        <v>777</v>
      </c>
      <c r="F4" s="999" t="s">
        <v>778</v>
      </c>
      <c r="G4" s="997" t="s">
        <v>779</v>
      </c>
      <c r="H4" s="998" t="s">
        <v>780</v>
      </c>
      <c r="I4" s="999" t="s">
        <v>1010</v>
      </c>
      <c r="J4" s="993"/>
      <c r="L4" s="614"/>
    </row>
    <row r="5" spans="1:12" ht="15" customHeight="1">
      <c r="A5" s="95" t="s">
        <v>411</v>
      </c>
      <c r="B5" s="1233">
        <v>1</v>
      </c>
      <c r="C5" s="1234">
        <v>4</v>
      </c>
      <c r="D5" s="1233"/>
      <c r="E5" s="1235"/>
      <c r="F5" s="1236"/>
      <c r="G5" s="1233"/>
      <c r="H5" s="1235"/>
      <c r="I5" s="1236"/>
      <c r="J5" s="115">
        <f>SUM(B5:H5)</f>
        <v>5</v>
      </c>
    </row>
    <row r="6" spans="1:12" ht="15" customHeight="1">
      <c r="A6" s="92" t="s">
        <v>410</v>
      </c>
      <c r="B6" s="1237">
        <v>2</v>
      </c>
      <c r="C6" s="1238"/>
      <c r="D6" s="1237"/>
      <c r="E6" s="1239"/>
      <c r="F6" s="1240">
        <v>1</v>
      </c>
      <c r="G6" s="1237">
        <v>1</v>
      </c>
      <c r="H6" s="1239"/>
      <c r="I6" s="1240"/>
      <c r="J6" s="117">
        <f>SUM(B6:H6)</f>
        <v>4</v>
      </c>
      <c r="K6" s="284"/>
    </row>
    <row r="7" spans="1:12" ht="15" customHeight="1">
      <c r="A7" s="95" t="s">
        <v>379</v>
      </c>
      <c r="B7" s="1233">
        <v>1</v>
      </c>
      <c r="C7" s="1234">
        <v>2</v>
      </c>
      <c r="D7" s="1233"/>
      <c r="E7" s="1235"/>
      <c r="F7" s="1236"/>
      <c r="G7" s="1233">
        <v>2</v>
      </c>
      <c r="H7" s="1235">
        <v>1</v>
      </c>
      <c r="I7" s="1236"/>
      <c r="J7" s="115">
        <f>SUM(B7:H7)</f>
        <v>6</v>
      </c>
    </row>
    <row r="8" spans="1:12" ht="15" customHeight="1">
      <c r="A8" s="92" t="s">
        <v>375</v>
      </c>
      <c r="B8" s="1237"/>
      <c r="C8" s="1238">
        <v>3</v>
      </c>
      <c r="D8" s="1237">
        <v>3</v>
      </c>
      <c r="E8" s="1239"/>
      <c r="F8" s="1240"/>
      <c r="G8" s="1237">
        <v>2</v>
      </c>
      <c r="H8" s="1239">
        <v>1</v>
      </c>
      <c r="I8" s="1240">
        <v>1</v>
      </c>
      <c r="J8" s="117">
        <f>SUM(B8:I8)</f>
        <v>10</v>
      </c>
      <c r="K8" s="284"/>
    </row>
    <row r="9" spans="1:12" ht="15" customHeight="1">
      <c r="A9" s="95" t="s">
        <v>732</v>
      </c>
      <c r="B9" s="995"/>
      <c r="C9" s="935"/>
      <c r="D9" s="995"/>
      <c r="E9" s="1000"/>
      <c r="F9" s="1001"/>
      <c r="G9" s="995"/>
      <c r="H9" s="1000"/>
      <c r="I9" s="1001"/>
      <c r="J9" s="115"/>
    </row>
    <row r="10" spans="1:12" ht="15" customHeight="1">
      <c r="A10" s="92" t="s">
        <v>528</v>
      </c>
      <c r="B10" s="996"/>
      <c r="C10" s="934"/>
      <c r="D10" s="996"/>
      <c r="E10" s="1002"/>
      <c r="F10" s="1003"/>
      <c r="G10" s="996"/>
      <c r="H10" s="1002"/>
      <c r="I10" s="1003"/>
      <c r="J10" s="117"/>
    </row>
    <row r="11" spans="1:12" ht="15" customHeight="1">
      <c r="A11" s="95" t="s">
        <v>731</v>
      </c>
      <c r="B11" s="1233"/>
      <c r="C11" s="1234">
        <v>2</v>
      </c>
      <c r="D11" s="1233"/>
      <c r="E11" s="1235"/>
      <c r="F11" s="1236"/>
      <c r="G11" s="1233"/>
      <c r="H11" s="1235"/>
      <c r="I11" s="1236"/>
      <c r="J11" s="115">
        <f>SUM(B11:H11)</f>
        <v>2</v>
      </c>
    </row>
    <row r="12" spans="1:12" s="1161" customFormat="1" ht="15" customHeight="1" thickBot="1">
      <c r="A12" s="92" t="s">
        <v>820</v>
      </c>
      <c r="B12" s="1241"/>
      <c r="C12" s="1428">
        <v>1</v>
      </c>
      <c r="D12" s="1241"/>
      <c r="E12" s="1242"/>
      <c r="F12" s="1243"/>
      <c r="G12" s="1241"/>
      <c r="H12" s="1242"/>
      <c r="I12" s="1243"/>
      <c r="J12" s="1244">
        <f>SUM(B12:H12)</f>
        <v>1</v>
      </c>
    </row>
    <row r="13" spans="1:12" ht="15" customHeight="1" thickBot="1">
      <c r="A13" s="1419" t="s">
        <v>47</v>
      </c>
      <c r="B13" s="1423">
        <f>SUM(B5:B12)</f>
        <v>4</v>
      </c>
      <c r="C13" s="1424">
        <f>SUM(C5:C12)</f>
        <v>12</v>
      </c>
      <c r="D13" s="1423">
        <f t="shared" ref="D13:I13" si="0">SUM(D5:D12)</f>
        <v>3</v>
      </c>
      <c r="E13" s="1425">
        <f t="shared" si="0"/>
        <v>0</v>
      </c>
      <c r="F13" s="1426">
        <f t="shared" si="0"/>
        <v>1</v>
      </c>
      <c r="G13" s="1423">
        <f t="shared" si="0"/>
        <v>5</v>
      </c>
      <c r="H13" s="1425">
        <f t="shared" si="0"/>
        <v>2</v>
      </c>
      <c r="I13" s="1426">
        <f t="shared" si="0"/>
        <v>1</v>
      </c>
      <c r="J13" s="1427">
        <f>SUM(J5:J12)</f>
        <v>28</v>
      </c>
    </row>
    <row r="14" spans="1:12" ht="15" customHeight="1">
      <c r="A14" s="285"/>
      <c r="B14" s="90"/>
      <c r="C14" s="90"/>
      <c r="D14" s="90"/>
      <c r="E14" s="90"/>
      <c r="F14" s="90"/>
      <c r="G14" s="90"/>
      <c r="H14" s="90"/>
      <c r="I14" s="90"/>
    </row>
    <row r="15" spans="1:12">
      <c r="K15" s="381"/>
    </row>
    <row r="16" spans="1:12" ht="15.75">
      <c r="A16" s="155" t="s">
        <v>559</v>
      </c>
    </row>
    <row r="17" spans="1:10" ht="15.75">
      <c r="A17" s="1079" t="s">
        <v>560</v>
      </c>
    </row>
    <row r="18" spans="1:10" ht="11.25">
      <c r="A18" s="231" t="s">
        <v>884</v>
      </c>
    </row>
    <row r="19" spans="1:10" ht="11.25" thickBot="1">
      <c r="H19" t="s">
        <v>675</v>
      </c>
      <c r="J19">
        <f>(EffectifEns!L25+EffectifEns!R25)/2</f>
        <v>647.5</v>
      </c>
    </row>
    <row r="20" spans="1:10" ht="15" customHeight="1">
      <c r="B20" s="389" t="s">
        <v>686</v>
      </c>
      <c r="C20" s="389" t="s">
        <v>59</v>
      </c>
      <c r="D20" s="389" t="s">
        <v>58</v>
      </c>
      <c r="E20" s="389" t="s">
        <v>47</v>
      </c>
      <c r="F20" s="648"/>
      <c r="H20" t="s">
        <v>552</v>
      </c>
      <c r="J20">
        <f>Recrutement!Q15+Recrutement!P30</f>
        <v>28</v>
      </c>
    </row>
    <row r="21" spans="1:10" ht="15" customHeight="1">
      <c r="A21" s="285" t="s">
        <v>223</v>
      </c>
      <c r="B21" s="1315"/>
      <c r="C21" s="1315">
        <v>3</v>
      </c>
      <c r="D21" s="1315">
        <v>4</v>
      </c>
      <c r="E21" s="1318">
        <f>SUM(B21:D21)</f>
        <v>7</v>
      </c>
      <c r="H21" t="s">
        <v>553</v>
      </c>
      <c r="J21">
        <f>J13</f>
        <v>28</v>
      </c>
    </row>
    <row r="22" spans="1:10" ht="15" customHeight="1">
      <c r="A22" s="92" t="s">
        <v>822</v>
      </c>
      <c r="B22" s="1317"/>
      <c r="C22" s="1317"/>
      <c r="D22" s="1317">
        <v>1</v>
      </c>
      <c r="E22" s="1319">
        <f t="shared" ref="E22:E24" si="1">SUM(B22:D22)</f>
        <v>1</v>
      </c>
      <c r="J22">
        <f>SUM(J20:J21)/2</f>
        <v>28</v>
      </c>
    </row>
    <row r="23" spans="1:10" ht="15" customHeight="1">
      <c r="A23" s="285" t="s">
        <v>823</v>
      </c>
      <c r="B23" s="1315"/>
      <c r="C23" s="1315">
        <v>1</v>
      </c>
      <c r="D23" s="1315">
        <v>4</v>
      </c>
      <c r="E23" s="1318">
        <f t="shared" si="1"/>
        <v>5</v>
      </c>
      <c r="J23" s="381">
        <f>J22/J19</f>
        <v>4.3243243243243246E-2</v>
      </c>
    </row>
    <row r="24" spans="1:10" ht="15.6" customHeight="1">
      <c r="A24" s="92" t="s">
        <v>859</v>
      </c>
      <c r="B24" s="1317">
        <v>5</v>
      </c>
      <c r="C24" s="1317">
        <v>2</v>
      </c>
      <c r="D24" s="1317">
        <v>1</v>
      </c>
      <c r="E24" s="1319">
        <f t="shared" si="1"/>
        <v>8</v>
      </c>
    </row>
    <row r="25" spans="1:10" ht="15.4" customHeight="1" thickBot="1">
      <c r="A25" s="285" t="s">
        <v>47</v>
      </c>
      <c r="B25" s="1245">
        <f t="shared" ref="B25:D25" si="2">SUM(B21:B24)</f>
        <v>5</v>
      </c>
      <c r="C25" s="1245">
        <f t="shared" si="2"/>
        <v>6</v>
      </c>
      <c r="D25" s="1245">
        <f t="shared" si="2"/>
        <v>10</v>
      </c>
      <c r="E25" s="1245">
        <f>SUM(E21:E24)</f>
        <v>21</v>
      </c>
    </row>
    <row r="26" spans="1:10">
      <c r="B26" s="1"/>
      <c r="C26" s="1"/>
      <c r="D26" s="1"/>
    </row>
    <row r="29" spans="1:10" ht="15" customHeight="1"/>
    <row r="30" spans="1:10" ht="15" customHeight="1"/>
    <row r="31" spans="1:10" ht="15" customHeight="1"/>
  </sheetData>
  <pageMargins left="0.11811023622047245" right="0.11811023622047245" top="0.35433070866141736" bottom="0.35433070866141736" header="0.31496062992125984" footer="0.31496062992125984"/>
  <pageSetup paperSize="9" orientation="landscape" r:id="rId1"/>
  <ignoredErrors>
    <ignoredError sqref="C1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O15"/>
  <sheetViews>
    <sheetView showGridLines="0" zoomScaleNormal="120" zoomScaleSheetLayoutView="120" zoomScalePageLayoutView="120" workbookViewId="0">
      <selection activeCell="C3" sqref="C3:E15"/>
    </sheetView>
  </sheetViews>
  <sheetFormatPr baseColWidth="10" defaultColWidth="12" defaultRowHeight="12.75"/>
  <cols>
    <col min="1" max="1" width="71.5" style="70" customWidth="1"/>
    <col min="2" max="2" width="1" style="70" customWidth="1"/>
    <col min="3" max="3" width="10.6640625" style="70" customWidth="1"/>
    <col min="4" max="4" width="1" style="70" customWidth="1"/>
    <col min="5" max="5" width="10.6640625" style="70" customWidth="1"/>
    <col min="6" max="6" width="0.6640625" style="70" customWidth="1"/>
    <col min="7" max="7" width="10.6640625" style="70" customWidth="1"/>
    <col min="8" max="8" width="1.1640625" style="70" customWidth="1"/>
    <col min="9" max="9" width="10.6640625" style="70" customWidth="1"/>
    <col min="10" max="11" width="6.6640625" style="70" customWidth="1"/>
    <col min="12" max="12" width="26.1640625" style="70" customWidth="1"/>
    <col min="13" max="13" width="21.6640625" style="70" customWidth="1"/>
    <col min="14" max="14" width="10" style="70" customWidth="1"/>
    <col min="15" max="16384" width="12" style="70"/>
  </cols>
  <sheetData>
    <row r="1" spans="1:15" s="56" customFormat="1" ht="18" customHeight="1">
      <c r="A1" s="228" t="s">
        <v>451</v>
      </c>
      <c r="B1" s="32"/>
      <c r="C1" s="32"/>
      <c r="D1" s="32"/>
      <c r="E1" s="32"/>
      <c r="N1" s="190"/>
      <c r="O1" s="190"/>
    </row>
    <row r="2" spans="1:15" s="56" customFormat="1" ht="6.75" customHeight="1">
      <c r="N2" s="190"/>
      <c r="O2" s="190"/>
    </row>
    <row r="3" spans="1:15" ht="13.5" thickBot="1">
      <c r="A3" s="26" t="s">
        <v>973</v>
      </c>
      <c r="B3" s="80"/>
      <c r="C3" s="562"/>
      <c r="E3" s="562"/>
      <c r="G3" s="562">
        <v>2021</v>
      </c>
      <c r="I3" s="562">
        <v>2022</v>
      </c>
      <c r="J3" s="130"/>
      <c r="L3" s="130"/>
      <c r="M3" s="329"/>
      <c r="N3" s="330"/>
    </row>
    <row r="4" spans="1:15" ht="14.65" customHeight="1">
      <c r="A4" s="556" t="s">
        <v>101</v>
      </c>
      <c r="B4" s="80"/>
      <c r="C4" s="557"/>
      <c r="E4" s="557"/>
      <c r="G4" s="1293">
        <v>11</v>
      </c>
      <c r="I4" s="1470">
        <v>29</v>
      </c>
      <c r="J4" s="130"/>
      <c r="K4" s="735"/>
      <c r="L4" s="130"/>
      <c r="M4" s="329"/>
      <c r="N4" s="330"/>
    </row>
    <row r="5" spans="1:15" ht="14.65" customHeight="1">
      <c r="A5" s="554" t="s">
        <v>102</v>
      </c>
      <c r="B5" s="182"/>
      <c r="C5" s="558"/>
      <c r="E5" s="558"/>
      <c r="G5" s="1294">
        <v>1</v>
      </c>
      <c r="I5" s="1471">
        <v>5</v>
      </c>
      <c r="J5" s="130"/>
      <c r="K5" s="735"/>
      <c r="L5" s="130"/>
      <c r="N5" s="130"/>
    </row>
    <row r="6" spans="1:15" ht="14.65" customHeight="1">
      <c r="A6" s="555" t="s">
        <v>103</v>
      </c>
      <c r="B6" s="80"/>
      <c r="C6" s="559"/>
      <c r="E6" s="559"/>
      <c r="G6" s="1295">
        <v>10</v>
      </c>
      <c r="I6" s="1472">
        <v>24</v>
      </c>
      <c r="J6" s="129"/>
      <c r="K6" s="735"/>
      <c r="L6" s="129"/>
      <c r="N6" s="129"/>
    </row>
    <row r="7" spans="1:15" ht="14.65" customHeight="1">
      <c r="A7" s="554" t="s">
        <v>104</v>
      </c>
      <c r="B7" s="182"/>
      <c r="C7" s="558"/>
      <c r="E7" s="558"/>
      <c r="G7" s="1294"/>
      <c r="I7" s="1471"/>
      <c r="J7" s="131"/>
      <c r="K7" s="735"/>
      <c r="L7" s="131"/>
      <c r="N7" s="131"/>
    </row>
    <row r="8" spans="1:15" ht="14.65" customHeight="1">
      <c r="A8" s="555" t="s">
        <v>105</v>
      </c>
      <c r="C8" s="559"/>
      <c r="E8" s="559"/>
      <c r="G8" s="1296"/>
      <c r="I8" s="1473"/>
      <c r="J8" s="131"/>
      <c r="K8" s="735"/>
      <c r="L8" s="129"/>
      <c r="N8" s="129"/>
    </row>
    <row r="9" spans="1:15" ht="14.65" customHeight="1">
      <c r="A9" s="554" t="s">
        <v>307</v>
      </c>
      <c r="B9" s="183"/>
      <c r="C9" s="558"/>
      <c r="E9" s="558"/>
      <c r="G9" s="1294">
        <v>1</v>
      </c>
      <c r="I9" s="1471">
        <v>4</v>
      </c>
      <c r="K9" s="735"/>
    </row>
    <row r="10" spans="1:15" ht="14.65" customHeight="1">
      <c r="A10" s="555" t="s">
        <v>106</v>
      </c>
      <c r="C10" s="559"/>
      <c r="E10" s="559"/>
      <c r="G10" s="1296">
        <v>1</v>
      </c>
      <c r="I10" s="1473">
        <v>1</v>
      </c>
    </row>
    <row r="11" spans="1:15" ht="19.899999999999999" customHeight="1">
      <c r="A11" s="554" t="s">
        <v>306</v>
      </c>
      <c r="C11" s="558"/>
      <c r="E11" s="558"/>
      <c r="G11" s="1294"/>
      <c r="I11" s="936"/>
    </row>
    <row r="12" spans="1:15" ht="14.65" customHeight="1">
      <c r="A12" s="555" t="s">
        <v>107</v>
      </c>
      <c r="B12" s="75"/>
      <c r="C12" s="560"/>
      <c r="E12" s="560"/>
      <c r="G12" s="1295"/>
      <c r="I12" s="937"/>
    </row>
    <row r="13" spans="1:15" ht="14.65" customHeight="1">
      <c r="A13" s="554" t="s">
        <v>108</v>
      </c>
      <c r="C13" s="558"/>
      <c r="E13" s="558"/>
      <c r="G13" s="1294">
        <v>1</v>
      </c>
      <c r="I13" s="936"/>
    </row>
    <row r="14" spans="1:15" s="75" customFormat="1" ht="14.65" customHeight="1">
      <c r="A14" s="390"/>
      <c r="C14" s="495"/>
      <c r="E14" s="495"/>
      <c r="G14" s="1297"/>
      <c r="I14" s="938"/>
    </row>
    <row r="15" spans="1:15" ht="14.65" customHeight="1">
      <c r="A15" s="553" t="s">
        <v>800</v>
      </c>
      <c r="B15" s="184"/>
      <c r="C15" s="561"/>
      <c r="D15" s="184"/>
      <c r="E15" s="561"/>
      <c r="G15" s="1298">
        <f>G13/G4</f>
        <v>9.0909090909090912E-2</v>
      </c>
      <c r="I15" s="1504">
        <f>I13/I4</f>
        <v>0</v>
      </c>
    </row>
  </sheetData>
  <printOptions horizontalCentered="1"/>
  <pageMargins left="0.11811023622047245" right="0.11811023622047245" top="0.35433070866141736" bottom="0.35433070866141736" header="0.31496062992125984" footer="0.31496062992125984"/>
  <pageSetup paperSize="9" fitToWidth="0"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42</vt:i4>
      </vt:variant>
      <vt:variant>
        <vt:lpstr>Plages nommées</vt:lpstr>
      </vt:variant>
      <vt:variant>
        <vt:i4>29</vt:i4>
      </vt:variant>
    </vt:vector>
  </HeadingPairs>
  <TitlesOfParts>
    <vt:vector size="71" baseType="lpstr">
      <vt:lpstr>Sommaire</vt:lpstr>
      <vt:lpstr>PrésentationUJM</vt:lpstr>
      <vt:lpstr>Plafond</vt:lpstr>
      <vt:lpstr>EffectifGlobal</vt:lpstr>
      <vt:lpstr>EffectifEns</vt:lpstr>
      <vt:lpstr>Effectif_E_Comp</vt:lpstr>
      <vt:lpstr>Recrutement</vt:lpstr>
      <vt:lpstr>DépartsENS</vt:lpstr>
      <vt:lpstr>Redéploiement</vt:lpstr>
      <vt:lpstr>PromosEC</vt:lpstr>
      <vt:lpstr>Recherche</vt:lpstr>
      <vt:lpstr>EffectifBIATSS</vt:lpstr>
      <vt:lpstr>AffectionBIATSS</vt:lpstr>
      <vt:lpstr>CDI_ContratsEtudiants</vt:lpstr>
      <vt:lpstr>PromoBIATSS</vt:lpstr>
      <vt:lpstr>RecrutDéparts</vt:lpstr>
      <vt:lpstr>PyramideAges</vt:lpstr>
      <vt:lpstr>PyramideAgesENS</vt:lpstr>
      <vt:lpstr>PyramideAgesBIATSSTit</vt:lpstr>
      <vt:lpstr>PyramideAgesBIATSSCont</vt:lpstr>
      <vt:lpstr>AgeMoyenMédian</vt:lpstr>
      <vt:lpstr>Départs_Retraite</vt:lpstr>
      <vt:lpstr>Parité</vt:lpstr>
      <vt:lpstr>Parité (2)</vt:lpstr>
      <vt:lpstr>Rémunérations</vt:lpstr>
      <vt:lpstr>Formation</vt:lpstr>
      <vt:lpstr>Formation2</vt:lpstr>
      <vt:lpstr>Formation3</vt:lpstr>
      <vt:lpstr>TempsPartiel_télétravail</vt:lpstr>
      <vt:lpstr>CET</vt:lpstr>
      <vt:lpstr>CongésMadadie</vt:lpstr>
      <vt:lpstr>CongésMadadie (2)</vt:lpstr>
      <vt:lpstr>SaisonnalitéCOM</vt:lpstr>
      <vt:lpstr>CongésMat_Pat_Parent Grève</vt:lpstr>
      <vt:lpstr>MédecinPrévention</vt:lpstr>
      <vt:lpstr>Hygiène_Sécurité</vt:lpstr>
      <vt:lpstr>FormationHS</vt:lpstr>
      <vt:lpstr>DialogueSocial</vt:lpstr>
      <vt:lpstr>ActionSociale</vt:lpstr>
      <vt:lpstr>Handicap</vt:lpstr>
      <vt:lpstr>ActionCulturelle</vt:lpstr>
      <vt:lpstr>Glossaire</vt:lpstr>
      <vt:lpstr>ActionCulturelle!Zone_d_impression</vt:lpstr>
      <vt:lpstr>ActionSociale!Zone_d_impression</vt:lpstr>
      <vt:lpstr>AffectionBIATSS!Zone_d_impression</vt:lpstr>
      <vt:lpstr>CDI_ContratsEtudiants!Zone_d_impression</vt:lpstr>
      <vt:lpstr>CongésMadadie!Zone_d_impression</vt:lpstr>
      <vt:lpstr>'CongésMadadie (2)'!Zone_d_impression</vt:lpstr>
      <vt:lpstr>Départs_Retraite!Zone_d_impression</vt:lpstr>
      <vt:lpstr>DialogueSocial!Zone_d_impression</vt:lpstr>
      <vt:lpstr>Effectif_E_Comp!Zone_d_impression</vt:lpstr>
      <vt:lpstr>EffectifBIATSS!Zone_d_impression</vt:lpstr>
      <vt:lpstr>EffectifEns!Zone_d_impression</vt:lpstr>
      <vt:lpstr>Formation!Zone_d_impression</vt:lpstr>
      <vt:lpstr>Formation2!Zone_d_impression</vt:lpstr>
      <vt:lpstr>FormationHS!Zone_d_impression</vt:lpstr>
      <vt:lpstr>Handicap!Zone_d_impression</vt:lpstr>
      <vt:lpstr>Hygiène_Sécurité!Zone_d_impression</vt:lpstr>
      <vt:lpstr>MédecinPrévention!Zone_d_impression</vt:lpstr>
      <vt:lpstr>Parité!Zone_d_impression</vt:lpstr>
      <vt:lpstr>'Parité (2)'!Zone_d_impression</vt:lpstr>
      <vt:lpstr>PrésentationUJM!Zone_d_impression</vt:lpstr>
      <vt:lpstr>PromoBIATSS!Zone_d_impression</vt:lpstr>
      <vt:lpstr>PromosEC!Zone_d_impression</vt:lpstr>
      <vt:lpstr>PyramideAges!Zone_d_impression</vt:lpstr>
      <vt:lpstr>PyramideAgesBIATSSCont!Zone_d_impression</vt:lpstr>
      <vt:lpstr>RecrutDéparts!Zone_d_impression</vt:lpstr>
      <vt:lpstr>Recrutement!Zone_d_impression</vt:lpstr>
      <vt:lpstr>Redéploiement!Zone_d_impression</vt:lpstr>
      <vt:lpstr>Rémunérations!Zone_d_impression</vt:lpstr>
      <vt:lpstr>TempsPartiel_télétravail!Zone_d_impression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visiteur</dc:creator>
  <cp:lastModifiedBy>Emmanuelle Demirkol</cp:lastModifiedBy>
  <cp:lastPrinted>2022-12-20T09:38:00Z</cp:lastPrinted>
  <dcterms:created xsi:type="dcterms:W3CDTF">2010-04-06T06:33:19Z</dcterms:created>
  <dcterms:modified xsi:type="dcterms:W3CDTF">2023-04-07T13:46:29Z</dcterms:modified>
</cp:coreProperties>
</file>